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NOTICE" sheetId="2" r:id="rId5"/>
    <sheet state="visible" name="SAISIE" sheetId="3" r:id="rId6"/>
    <sheet state="visible" name="RESULTATS" sheetId="4" r:id="rId7"/>
  </sheets>
  <definedNames/>
  <calcPr/>
  <extLst>
    <ext uri="GoogleSheetsCustomDataVersion2">
      <go:sheetsCustomData xmlns:go="http://customooxmlschemas.google.com/" r:id="rId8" roundtripDataChecksum="xrjojSUCI85q9CzJiRt26wlCSF9MbbWh6TobOYLqTMI="/>
    </ext>
  </extLst>
</workbook>
</file>

<file path=xl/sharedStrings.xml><?xml version="1.0" encoding="utf-8"?>
<sst xmlns="http://schemas.openxmlformats.org/spreadsheetml/2006/main" count="768" uniqueCount="299">
  <si>
    <t>Choisir le type de données utilisées : MMBio ou groupe local (données à renseigner)</t>
  </si>
  <si>
    <t>Cocher la case correspondante dans l'onglet "Saisie" pour que les bonnes données soient prises en compte dans les résultats</t>
  </si>
  <si>
    <t>Données MMBio</t>
  </si>
  <si>
    <t>Code</t>
  </si>
  <si>
    <t>Indicateur</t>
  </si>
  <si>
    <t>Minimum</t>
  </si>
  <si>
    <t>1er quartile</t>
  </si>
  <si>
    <t>Mediane</t>
  </si>
  <si>
    <t>3e quartile</t>
  </si>
  <si>
    <t>Maximum</t>
  </si>
  <si>
    <t>Moyenne</t>
  </si>
  <si>
    <t>S01</t>
  </si>
  <si>
    <t>Surface cultivée</t>
  </si>
  <si>
    <t>S02</t>
  </si>
  <si>
    <t>Part de la surface cultivée sous abri</t>
  </si>
  <si>
    <t>S03</t>
  </si>
  <si>
    <t>Intensification des surfaces</t>
  </si>
  <si>
    <t>S04</t>
  </si>
  <si>
    <t>Surface développée</t>
  </si>
  <si>
    <t>S05</t>
  </si>
  <si>
    <t>Part de la surface développée sous abri</t>
  </si>
  <si>
    <t>T01</t>
  </si>
  <si>
    <t>ETP/ha</t>
  </si>
  <si>
    <t>T02</t>
  </si>
  <si>
    <t>Heures de travail sur 1000 m² développés</t>
  </si>
  <si>
    <t>T03</t>
  </si>
  <si>
    <t>% de temps de production</t>
  </si>
  <si>
    <t>T04</t>
  </si>
  <si>
    <t>% de temps de préparation et récolte</t>
  </si>
  <si>
    <t>T05</t>
  </si>
  <si>
    <t>% de temps de commercialisation</t>
  </si>
  <si>
    <t>T06</t>
  </si>
  <si>
    <t>% de temps de gestion</t>
  </si>
  <si>
    <t>E01</t>
  </si>
  <si>
    <t>CA/ha</t>
  </si>
  <si>
    <t>E02</t>
  </si>
  <si>
    <t>CA/m2</t>
  </si>
  <si>
    <t>E03</t>
  </si>
  <si>
    <t>Charges/m2</t>
  </si>
  <si>
    <t>E04</t>
  </si>
  <si>
    <t>% charges opérationnelles</t>
  </si>
  <si>
    <t>E05</t>
  </si>
  <si>
    <t>% charges de main d'œuvre</t>
  </si>
  <si>
    <t>E06</t>
  </si>
  <si>
    <t>% charges de structure spécifiques</t>
  </si>
  <si>
    <t>E07</t>
  </si>
  <si>
    <t>% charges de structure communes</t>
  </si>
  <si>
    <t>E08</t>
  </si>
  <si>
    <t>Efficacité économique (CA/charges)</t>
  </si>
  <si>
    <t>E09</t>
  </si>
  <si>
    <t>Poids de la dette (annuités/EBE)</t>
  </si>
  <si>
    <t>E10</t>
  </si>
  <si>
    <t>EBE</t>
  </si>
  <si>
    <t>E11</t>
  </si>
  <si>
    <t>Revenu par maraîcher</t>
  </si>
  <si>
    <t>E12</t>
  </si>
  <si>
    <t>Revenu horaire</t>
  </si>
  <si>
    <t>Données utilisateur</t>
  </si>
  <si>
    <t>Ferme</t>
  </si>
  <si>
    <r>
      <rPr>
        <rFont val="Calibri"/>
        <color theme="1"/>
        <sz val="11.0"/>
      </rPr>
      <t xml:space="preserve">Ce fichier est à destination des </t>
    </r>
    <r>
      <rPr>
        <rFont val="Calibri"/>
        <b/>
        <color theme="1"/>
        <sz val="11.0"/>
      </rPr>
      <t>maraîchers diversifiés en AB sur petite surface et à leurs conseillers</t>
    </r>
    <r>
      <rPr>
        <rFont val="Calibri"/>
        <color theme="1"/>
        <sz val="11.0"/>
      </rPr>
      <t>.
Il peut être utilisé individuellement pour situer sa ferme par rapport aux fermes suivies dans le cadre du projet CASDAR MMBio, ou dans le cadre d'un accompagnement collectif.</t>
    </r>
  </si>
  <si>
    <r>
      <rPr>
        <rFont val="Calibri"/>
        <color theme="1"/>
        <sz val="11.0"/>
      </rPr>
      <t>Ce fichier permet à un utilisateur qui renseigne quelques données sur sa ferme (économiques, temps de travail, surfaces) d'obtenir des</t>
    </r>
    <r>
      <rPr>
        <rFont val="Calibri"/>
        <b/>
        <color theme="1"/>
        <sz val="11.0"/>
      </rPr>
      <t xml:space="preserve"> indicateurs globaux et de les comparer au panel de 42 fermes</t>
    </r>
    <r>
      <rPr>
        <rFont val="Calibri"/>
        <color theme="1"/>
        <sz val="11.0"/>
      </rPr>
      <t xml:space="preserve"> suivies dans le cadre du projet MMBio.
Il permet aussi de </t>
    </r>
    <r>
      <rPr>
        <rFont val="Calibri"/>
        <b/>
        <color theme="1"/>
        <sz val="11.0"/>
      </rPr>
      <t>reconstruire une estimation du temps de travail</t>
    </r>
    <r>
      <rPr>
        <rFont val="Calibri"/>
        <color theme="1"/>
        <sz val="11.0"/>
      </rPr>
      <t xml:space="preserve"> annuel par type de main d'oeuvre et par type d'opération si cette donnée n'est pas directement accessible.</t>
    </r>
  </si>
  <si>
    <r>
      <rPr>
        <rFont val="Calibri"/>
        <color theme="1"/>
        <sz val="11.0"/>
      </rPr>
      <t xml:space="preserve">Le projet MMBio s'attachait à produire des repères technico-économiques pour le maraîchage uniquement. L'ensemble des données recueillies sur les fermes enquêtées ne concernaient donc que le maraîchage : surfaces cultivées en légumes, temps de travail spécifique au maraîchage, idem pour les données économiques.
</t>
    </r>
    <r>
      <rPr>
        <rFont val="Calibri"/>
        <b/>
        <color theme="1"/>
        <sz val="11.0"/>
      </rPr>
      <t>Afin que l'évaluation proposée dans cet outil ait du sens, les données renseignées par l'utilisateur ne devront elles aussi concerner que le maraîchage.</t>
    </r>
  </si>
  <si>
    <t>ONGLET DATA</t>
  </si>
  <si>
    <t>Il comporte des données issues des 42 fermes MMBio, et permet de calculer des valeurs seuils (onglet résultats) pour comparer la ferme de l'utilisateur au panel MMBio</t>
  </si>
  <si>
    <t>Aucune intervention n'est requise de l'utilisateur s'il souhaite comparer une ferme au panel MMBio</t>
  </si>
  <si>
    <t>Dans le cadre d'un accompagnement collectif, l'utilisateur peut alimenter le tableau dédié avec les données issues des fermes du groupe en question et renseigne "Groupe local" dans l'onglet Saisie (voir ci-dessous)</t>
  </si>
  <si>
    <t>Dans ce cas, l'onglet Résultats mobilisera les valeurs seuils issues des données du groupe de fermes (min, 1er quartile, médiane, 3e quartile et max)</t>
  </si>
  <si>
    <t>ONGLET SAISIE</t>
  </si>
  <si>
    <t>Il permet à l'utilisateur de renseigner les données nécessaires aux différents calculs.</t>
  </si>
  <si>
    <t>L'utilisateur ne saisit des données que dans les cases jaunes :</t>
  </si>
  <si>
    <t>Les cellules grises sont des calculs automatiques :</t>
  </si>
  <si>
    <t>L'utilisateur renseigne en premier lieu le groupe auquel il souhaite comparer la ferme en question :</t>
  </si>
  <si>
    <t>MMBio</t>
  </si>
  <si>
    <t>Groupe local</t>
  </si>
  <si>
    <t>Surfaces</t>
  </si>
  <si>
    <t>La méthode de saisie des surfaces est la même que celle utilisée dans MMBio.</t>
  </si>
  <si>
    <t>Il s'agit de subdiviser sa surface en unités de gestion homogènes, c’est-à-dire en unités au sein desquelles le même nombre de cycles de cultures sont réalisés, peu importe la nature des cultures tant que l'on a le même nombre de cycles par an sur cette surface</t>
  </si>
  <si>
    <t>Ne renseigner que les surfaces cultivées en légumes</t>
  </si>
  <si>
    <t>Exemple</t>
  </si>
  <si>
    <t>Plein champ</t>
  </si>
  <si>
    <t>2 cycles sur 1500 m2</t>
  </si>
  <si>
    <t>3 cycles sur 800 m2</t>
  </si>
  <si>
    <t>1 cycle sur 2500</t>
  </si>
  <si>
    <t>2 cycles sur 1400 m2</t>
  </si>
  <si>
    <t>2 cycles sur 2100 m2</t>
  </si>
  <si>
    <t>Abris</t>
  </si>
  <si>
    <t>4 cycles sur 300 m2</t>
  </si>
  <si>
    <t>2 cycles sur 700 m2</t>
  </si>
  <si>
    <t>Temps de travail annuel</t>
  </si>
  <si>
    <t>Ne renseigner que le temps de travail lié à l'activité de maraîchage</t>
  </si>
  <si>
    <r>
      <rPr>
        <rFont val="Calibri"/>
        <color theme="1"/>
      </rPr>
      <t xml:space="preserve">Si les données de temps de travail par type de main d'œuvre sont connues de l'utilisateur, utiliser la </t>
    </r>
    <r>
      <rPr>
        <rFont val="Calibri"/>
        <b/>
        <color theme="1"/>
        <sz val="11.0"/>
      </rPr>
      <t>méthode 1</t>
    </r>
  </si>
  <si>
    <r>
      <rPr>
        <rFont val="Calibri"/>
        <color theme="1"/>
      </rPr>
      <t xml:space="preserve">Sinon, la </t>
    </r>
    <r>
      <rPr>
        <rFont val="Calibri"/>
        <b/>
        <color theme="1"/>
        <sz val="11.0"/>
      </rPr>
      <t>méthode 2</t>
    </r>
    <r>
      <rPr>
        <rFont val="Calibri"/>
        <color theme="1"/>
        <sz val="11.0"/>
      </rPr>
      <t xml:space="preserve"> de reconstitution du temps de travail est la même que dans MMBio</t>
    </r>
  </si>
  <si>
    <t>La méthode 2 se fait en 2 étapes :</t>
  </si>
  <si>
    <t>Etape 1 - Type de semaines</t>
  </si>
  <si>
    <t>L'utilisateur renseigne d'abord le nombre de petites, moyennes et grosses semaines par mois (en approximant à 4 semaines par mois), ainsi que le nombre de semaines de congé</t>
  </si>
  <si>
    <t>Le nombre de semaines par type est ensuite recalculé pour que l'année fasse bien 52 semaines et non 48</t>
  </si>
  <si>
    <t>Définition du nombre de petites, moyennes et grosses semaines par mois</t>
  </si>
  <si>
    <t>Janvier</t>
  </si>
  <si>
    <t>Février</t>
  </si>
  <si>
    <t>Mars</t>
  </si>
  <si>
    <t>Avril</t>
  </si>
  <si>
    <t>Mai</t>
  </si>
  <si>
    <t>Juin</t>
  </si>
  <si>
    <t>Juillet</t>
  </si>
  <si>
    <t>Août</t>
  </si>
  <si>
    <t>Septembre</t>
  </si>
  <si>
    <t>Octobre</t>
  </si>
  <si>
    <t>Novembre</t>
  </si>
  <si>
    <t>Décembre</t>
  </si>
  <si>
    <t>Total</t>
  </si>
  <si>
    <t>Petites semaines</t>
  </si>
  <si>
    <t>Moyennes semaines</t>
  </si>
  <si>
    <t>Grosses semaines</t>
  </si>
  <si>
    <t>Semaines de congés</t>
  </si>
  <si>
    <t>Total de semaines travaillées</t>
  </si>
  <si>
    <t>Nombre de semaines de congés par an :</t>
  </si>
  <si>
    <t>Etape 2 - Heures par type de semaine</t>
  </si>
  <si>
    <t>Dans un second temps, l'utilisateur renseigne le nombre d'heures réalisées par type de main d'œuvre en fonction du type de semaine</t>
  </si>
  <si>
    <t>On obtient un nombre d'heures hebdomadaires par petite, moyenne et grosse semaine, que l'on multipliera ensuite par le nombre de chaque type de semaine</t>
  </si>
  <si>
    <t>On obtient alors un volume horaire annuel total par type de main d'oeuvre</t>
  </si>
  <si>
    <t>Temps de travail par opération</t>
  </si>
  <si>
    <r>
      <rPr>
        <rFont val="Calibri"/>
        <color theme="1"/>
      </rPr>
      <t xml:space="preserve">Si la répartition du temps de travail par type d'opération est connue de l'utilisateur, utiliser la </t>
    </r>
    <r>
      <rPr>
        <rFont val="Calibri"/>
        <b/>
        <color theme="1"/>
        <sz val="11.0"/>
      </rPr>
      <t>méthode 1</t>
    </r>
    <r>
      <rPr>
        <rFont val="Calibri"/>
        <color theme="1"/>
        <sz val="11.0"/>
      </rPr>
      <t xml:space="preserve"> et les renseigner directement</t>
    </r>
  </si>
  <si>
    <r>
      <rPr>
        <rFont val="Calibri"/>
        <color theme="1"/>
      </rPr>
      <t xml:space="preserve">Sinon, la </t>
    </r>
    <r>
      <rPr>
        <rFont val="Calibri"/>
        <b/>
        <color theme="1"/>
        <sz val="11.0"/>
      </rPr>
      <t>méthode 2</t>
    </r>
    <r>
      <rPr>
        <rFont val="Calibri"/>
        <color theme="1"/>
        <sz val="11.0"/>
      </rPr>
      <t xml:space="preserve"> peut faciliter la reconstitution de cette répartition en fonction du type de semaine</t>
    </r>
  </si>
  <si>
    <t>Pour chaque type de semaine, l'utilisateur renseigne le pourcentage du temps passé par type d'opération et par type de main d'œuvre</t>
  </si>
  <si>
    <t>Exploitant 1</t>
  </si>
  <si>
    <t>Exploitant 2</t>
  </si>
  <si>
    <t>Aide familiale</t>
  </si>
  <si>
    <t>Salarié</t>
  </si>
  <si>
    <t>Bénévole</t>
  </si>
  <si>
    <t>Grosse semaine</t>
  </si>
  <si>
    <t>Production</t>
  </si>
  <si>
    <t>Préparation, récolte</t>
  </si>
  <si>
    <t>Commercialisation</t>
  </si>
  <si>
    <t>Gestion, administratif</t>
  </si>
  <si>
    <t>Economie</t>
  </si>
  <si>
    <t>Les données comptables servant au calcul des indicateurs économiques ne doivent concerner que le maraîchage !</t>
  </si>
  <si>
    <r>
      <rPr>
        <rFont val="Calibri"/>
        <color theme="1"/>
      </rPr>
      <t xml:space="preserve">Si plusieurs ateliers de production coexistent sur la ferme, attention à ce que </t>
    </r>
    <r>
      <rPr>
        <rFont val="Calibri"/>
        <b/>
        <color theme="1"/>
        <sz val="11.0"/>
      </rPr>
      <t>les données renseignées concernent bien l'atelier maraîchage</t>
    </r>
  </si>
  <si>
    <t>Chiffre d'affaires et subventions</t>
  </si>
  <si>
    <t>Pour les charges opérationnelles, l'affectation ou non à l'atelier maraîchage ne devrait pas poser de problème</t>
  </si>
  <si>
    <r>
      <rPr>
        <rFont val="Calibri"/>
        <color theme="1"/>
      </rPr>
      <t xml:space="preserve">Pour les charges de structure spécifiques et communes qui pourraient concerner plusieurs ateliers, </t>
    </r>
    <r>
      <rPr>
        <rFont val="Calibri"/>
        <b/>
        <color theme="1"/>
        <sz val="11.0"/>
      </rPr>
      <t>appliquer un prorata en fonction du % de CA réalisé grâce au maraîchage</t>
    </r>
  </si>
  <si>
    <t>Il est possible de renseigner jusqu'à 3 exercices comptables, les données utilisées pour le calcul des indicateurs seront la moyenne de ces 2 ou 3 exercices</t>
  </si>
  <si>
    <t>Il est aussi possible de ne renseigner qu'un seul exercice comptable si l'utilisateur le juge préférable</t>
  </si>
  <si>
    <r>
      <rPr>
        <rFont val="Calibri"/>
        <color theme="1"/>
      </rPr>
      <t xml:space="preserve">Si les données comptable sont connues de l'utilisateur, utiliser la </t>
    </r>
    <r>
      <rPr>
        <rFont val="Calibri"/>
        <b/>
        <color theme="1"/>
        <sz val="11.0"/>
      </rPr>
      <t>méthode 1</t>
    </r>
  </si>
  <si>
    <r>
      <rPr>
        <rFont val="Calibri"/>
        <color theme="1"/>
      </rPr>
      <t xml:space="preserve">Sinon, la </t>
    </r>
    <r>
      <rPr>
        <rFont val="Calibri"/>
        <b/>
        <color theme="1"/>
        <sz val="11.0"/>
      </rPr>
      <t>méthode 2</t>
    </r>
    <r>
      <rPr>
        <rFont val="Calibri"/>
        <color theme="1"/>
        <sz val="11.0"/>
      </rPr>
      <t xml:space="preserve"> permet de reconstituer la comptabilité</t>
    </r>
  </si>
  <si>
    <t>Données de la ferme à recopier dans DATA le cas échéant</t>
  </si>
  <si>
    <t>Dans le cadre d'un accompagnement de groupe, les données ne sont pas toujours accessibles selon les fermes.</t>
  </si>
  <si>
    <t>Cet outil peut donc aussi servir à reconstituer ces données à l'échelle d'une ferme, à alimenter le tableau de données "Utilisateur" dans l'onglet DATA, et à recommencer pour les fermes suivantes.</t>
  </si>
  <si>
    <t>Marche à suivre</t>
  </si>
  <si>
    <t>Attention à bien coller les valeurs et pas les formules</t>
  </si>
  <si>
    <t>Pour reconstituer les données d'une autre ferme et les intégrer aussi dans la base de données "utilisateur", effacer les données de la ferme précédente et procéder de la même manière.</t>
  </si>
  <si>
    <t>ONGLET RESULTATS</t>
  </si>
  <si>
    <t>Cet onglet sert à visualiser, pour un certain nombre d'indicateurs, comment la ferme de l'utilisateur se positionne par rapport au panel MMBio ou par rapport au groupe local (selon le choix effectué en haut de l'onglet Saisie)</t>
  </si>
  <si>
    <t>La valeur de l'indicateur de la ferme est positionné entre les valeurs seuils. Dans l'exemple ci-dessous, la ferme en question a une surface cultivée qui correspond au quart supérieur des fermes MMBio, mais reste inférieure à la surface maximum</t>
  </si>
  <si>
    <t>Référence MMBio</t>
  </si>
  <si>
    <t>Max</t>
  </si>
  <si>
    <t>Ma ferme</t>
  </si>
  <si>
    <t/>
  </si>
  <si>
    <t>La ferme de l'utilisateur se situe dans la "fourchette haute" du panel MMBio, elle est située dans le quart supérieur</t>
  </si>
  <si>
    <t>Groupe de comparaison</t>
  </si>
  <si>
    <t>SURFACES</t>
  </si>
  <si>
    <t>Unité 1</t>
  </si>
  <si>
    <t>Unité 2</t>
  </si>
  <si>
    <t>Unité 3</t>
  </si>
  <si>
    <t>Unité 4</t>
  </si>
  <si>
    <t>Unité 5</t>
  </si>
  <si>
    <t>Unité 6</t>
  </si>
  <si>
    <t>Unité 7</t>
  </si>
  <si>
    <t>Unité 8</t>
  </si>
  <si>
    <t>Unité 9</t>
  </si>
  <si>
    <t>Unité 10</t>
  </si>
  <si>
    <t>Unité 11</t>
  </si>
  <si>
    <t>Unité 12</t>
  </si>
  <si>
    <t>Unité 13</t>
  </si>
  <si>
    <t>Unité 14</t>
  </si>
  <si>
    <t>Unité 15</t>
  </si>
  <si>
    <t>Unité 16</t>
  </si>
  <si>
    <t>Unité 17</t>
  </si>
  <si>
    <t>Unité 18</t>
  </si>
  <si>
    <t>Unité 19</t>
  </si>
  <si>
    <t>Unité 20</t>
  </si>
  <si>
    <t>Nombre de cycles de culture par an</t>
  </si>
  <si>
    <t>% surface cultivée sous abri</t>
  </si>
  <si>
    <t>Nombre de cycles</t>
  </si>
  <si>
    <t>% surface développée sous abri</t>
  </si>
  <si>
    <t>TEMPS DE TRAVAIL ANNUEL</t>
  </si>
  <si>
    <t>2 modes de saisies possibles : chiffres connus de l'utilisateur OU reconstitution du temps de travail</t>
  </si>
  <si>
    <t>Nombre de personnes sur la ferme dont le maraîchage est l'activité principale</t>
  </si>
  <si>
    <t>Heures / an</t>
  </si>
  <si>
    <t>ETP/ha (base 1650h/an)</t>
  </si>
  <si>
    <t>h/1000 m² développés</t>
  </si>
  <si>
    <t>Temps de travail annuel - Méthode 1 (connu par l'utilisateur)</t>
  </si>
  <si>
    <t>Temps de travail annuel - Méthode 2 (reconstitution)</t>
  </si>
  <si>
    <t>Nombre de semaines de congés par an</t>
  </si>
  <si>
    <t>Total/semaine</t>
  </si>
  <si>
    <t>Petite semaine</t>
  </si>
  <si>
    <t>Lundi</t>
  </si>
  <si>
    <t>Mardi</t>
  </si>
  <si>
    <t>Mercredi</t>
  </si>
  <si>
    <t>Jeudi</t>
  </si>
  <si>
    <t>Vendredi</t>
  </si>
  <si>
    <t>Samedi</t>
  </si>
  <si>
    <t>Dimanche</t>
  </si>
  <si>
    <t>Total petite semaine</t>
  </si>
  <si>
    <t>Moyenne semaine</t>
  </si>
  <si>
    <t>Total moyenne semaine</t>
  </si>
  <si>
    <t>Total grosse semaine</t>
  </si>
  <si>
    <t>Total par an</t>
  </si>
  <si>
    <t>TEMPS DE TRAVAIL PAR OPERATION</t>
  </si>
  <si>
    <t>% global</t>
  </si>
  <si>
    <t>Temps de travail par opération - Méthode 1 (connu de l'utilisateur)</t>
  </si>
  <si>
    <t>Temps de travail par opération - Méthode 2 (reconstitution)</t>
  </si>
  <si>
    <t>ECONOMIE</t>
  </si>
  <si>
    <t>Revenu/maraîcher</t>
  </si>
  <si>
    <t>Données comptables - Méthode 1 (connues de l'utilisateur)</t>
  </si>
  <si>
    <t>année n</t>
  </si>
  <si>
    <t>année n+1</t>
  </si>
  <si>
    <t>année n+2</t>
  </si>
  <si>
    <t>MOYENNE</t>
  </si>
  <si>
    <t>CA</t>
  </si>
  <si>
    <t>Charges opérationnelles</t>
  </si>
  <si>
    <t>Charges de main d'œuvre</t>
  </si>
  <si>
    <t>Charges de structure spécifiques (hors main d'œuvre)</t>
  </si>
  <si>
    <t>Charges de structure communes</t>
  </si>
  <si>
    <t>EBE (marge nette)</t>
  </si>
  <si>
    <t>Annuités</t>
  </si>
  <si>
    <t>Revenu disponible</t>
  </si>
  <si>
    <t>Données comptables - Méthode 2 (reconstitution)</t>
  </si>
  <si>
    <t>Exercice comptable</t>
  </si>
  <si>
    <t>Produits Légumes</t>
  </si>
  <si>
    <r>
      <rPr>
        <rFont val="Verdana"/>
        <b/>
        <color theme="0"/>
        <sz val="8.0"/>
      </rPr>
      <t xml:space="preserve">Commentaires </t>
    </r>
    <r>
      <rPr>
        <rFont val="Verdana"/>
        <b/>
        <color theme="7"/>
        <sz val="10.0"/>
      </rPr>
      <t>&gt;&gt; à ajouter pour préciser la ventilation des postes</t>
    </r>
  </si>
  <si>
    <t>Variation de stocks</t>
  </si>
  <si>
    <t>en légumes</t>
  </si>
  <si>
    <t>Subventions d'exploitation</t>
  </si>
  <si>
    <t>PAC, AB, crédit d'impôt, pôle emploi…</t>
  </si>
  <si>
    <t>Subventions au matériel</t>
  </si>
  <si>
    <r>
      <rPr>
        <rFont val="Verdana"/>
        <color rgb="FF7030A0"/>
        <sz val="8.0"/>
      </rPr>
      <t xml:space="preserve">Type PCAE, aides région... </t>
    </r>
    <r>
      <rPr>
        <rFont val="Verdana"/>
        <b/>
        <color rgb="FF7030A0"/>
        <sz val="8.0"/>
      </rPr>
      <t>Uniquement si matériel autofinancé</t>
    </r>
    <r>
      <rPr>
        <rFont val="Verdana"/>
        <color rgb="FF7030A0"/>
        <sz val="8.0"/>
      </rPr>
      <t xml:space="preserve"> (sinon --&gt; annuités). Indiquer l'autofinancement correspondant dans les charges spécifiques</t>
    </r>
  </si>
  <si>
    <t>CA transformation</t>
  </si>
  <si>
    <t>CA légumes frais (dont revente)</t>
  </si>
  <si>
    <t>Inclure l'autoconsommation et la revente</t>
  </si>
  <si>
    <t>Produit total</t>
  </si>
  <si>
    <t>PRODUIT TOTAL NET</t>
  </si>
  <si>
    <t>Charges opérationnelles Légumes</t>
  </si>
  <si>
    <t>Semences et plants</t>
  </si>
  <si>
    <t>Factures de l'année + variations de stock</t>
  </si>
  <si>
    <r>
      <rPr>
        <rFont val="Verdana"/>
        <color theme="1"/>
        <sz val="10.0"/>
      </rPr>
      <t xml:space="preserve">Engrais </t>
    </r>
    <r>
      <rPr>
        <rFont val="Verdana"/>
        <i/>
        <color theme="1"/>
        <sz val="10.0"/>
      </rPr>
      <t>(dont fumier)</t>
    </r>
  </si>
  <si>
    <t>Traitements</t>
  </si>
  <si>
    <t>Travaux par tiers / CUMA</t>
  </si>
  <si>
    <t>Achats (pour revente)</t>
  </si>
  <si>
    <t>Total charges opérationnelles</t>
  </si>
  <si>
    <t>MARGE BRUTE</t>
  </si>
  <si>
    <t>Charges de structure spécifiques Légumes</t>
  </si>
  <si>
    <t>Autres emballages</t>
  </si>
  <si>
    <t>Emballages  transformation</t>
  </si>
  <si>
    <t>Carb. Tracteur</t>
  </si>
  <si>
    <t>Gaz dont transformation</t>
  </si>
  <si>
    <t>Eau irrigation</t>
  </si>
  <si>
    <t>Fournitures pour transformation</t>
  </si>
  <si>
    <t>+ matériel amortissable si autofinancé</t>
  </si>
  <si>
    <t>Fournitures diverses, paillage</t>
  </si>
  <si>
    <t>Cotisation professionnelle</t>
  </si>
  <si>
    <t>Groupements techniques, associations professionnelles</t>
  </si>
  <si>
    <t>Location pour transfo Désifruits ou prestataire</t>
  </si>
  <si>
    <t>Frais de commercialisation</t>
  </si>
  <si>
    <t>Transport et achats de fumier</t>
  </si>
  <si>
    <t>Commission / ventes</t>
  </si>
  <si>
    <t>Commissions sur ventes dues à un magasin de producteur par exemple</t>
  </si>
  <si>
    <t>Certification AB</t>
  </si>
  <si>
    <r>
      <rPr>
        <rFont val="Verdana"/>
        <color theme="1"/>
        <sz val="10.0"/>
      </rPr>
      <t>Charges de structure spécifiques</t>
    </r>
    <r>
      <rPr>
        <rFont val="Verdana"/>
        <color theme="1"/>
        <sz val="8.0"/>
      </rPr>
      <t xml:space="preserve"> (a)</t>
    </r>
  </si>
  <si>
    <r>
      <rPr>
        <rFont val="Verdana"/>
        <color theme="1"/>
        <sz val="10.0"/>
      </rPr>
      <t>Frais de personnel</t>
    </r>
    <r>
      <rPr>
        <rFont val="Verdana"/>
        <color theme="1"/>
        <sz val="8.0"/>
      </rPr>
      <t xml:space="preserve"> (b)</t>
    </r>
  </si>
  <si>
    <r>
      <rPr>
        <rFont val="Verdana"/>
        <color theme="1"/>
        <sz val="10.0"/>
      </rPr>
      <t xml:space="preserve">Total des charges de structure spé. </t>
    </r>
    <r>
      <rPr>
        <rFont val="Verdana"/>
        <color theme="1"/>
        <sz val="8.0"/>
      </rPr>
      <t>(a) + (b)</t>
    </r>
  </si>
  <si>
    <t>MARGE DIRECTE</t>
  </si>
  <si>
    <t>Charges de structure communes Légumes</t>
  </si>
  <si>
    <t xml:space="preserve">enlever les charges communes qui concernent seulement d'autres productions (ex : assurance poulailler). Faire le total des charges communes et les répartir entre chaque production au prorata des ventes </t>
  </si>
  <si>
    <t>Cotisations profs: services remplacements, MSA</t>
  </si>
  <si>
    <t>Carburants gasoil, essence déplacements</t>
  </si>
  <si>
    <t>Autres fournitures entretien + bureau</t>
  </si>
  <si>
    <t>Fermage rémunérationdes MAD*</t>
  </si>
  <si>
    <t>Entretien bâtiments et matériel</t>
  </si>
  <si>
    <t>Assurances</t>
  </si>
  <si>
    <t>Transport sur achats</t>
  </si>
  <si>
    <t>Honoraires comptables</t>
  </si>
  <si>
    <t>Autres locations</t>
  </si>
  <si>
    <t>Eau, EDF</t>
  </si>
  <si>
    <t>Frais déplacements</t>
  </si>
  <si>
    <t>Frais postaux et télécom</t>
  </si>
  <si>
    <t>Autres: divers, doc géné, services bancaires …</t>
  </si>
  <si>
    <t>Taxes ADAR + redevances déchets + VIVEA</t>
  </si>
  <si>
    <t>Cotisations sociales MSA</t>
  </si>
  <si>
    <t>Total des charges de structure communes</t>
  </si>
  <si>
    <t>Total des charges (A)</t>
  </si>
  <si>
    <t>Exédent brut économique = Marge nette = (1)</t>
  </si>
  <si>
    <t>Annuités emprunts et agios = (2)</t>
  </si>
  <si>
    <t>MARGE NETTE - Annuités = (1) - (2)</t>
  </si>
  <si>
    <t>Valorisation horaire = [(MN - annuités) / Tps de l'expl.]</t>
  </si>
  <si>
    <t xml:space="preserve">Coût prod = [(A) + (2)] </t>
  </si>
  <si>
    <t>* MAD = Mise à disposition par les associés d'une société</t>
  </si>
  <si>
    <t>Groupe de comparaison :</t>
  </si>
  <si>
    <t>TEMPS DE TRAVAIL</t>
  </si>
  <si>
    <t>RESULTATS ECONOMIQUES</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</si>
</sst>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0"/>
    <numFmt numFmtId="165" formatCode="_-* #,##0\ &quot;€&quot;_-;\-* #,##0\ &quot;€&quot;_-;_-* &quot;-&quot;??\ &quot;€&quot;_-;_-@"/>
    <numFmt numFmtId="166" formatCode="_-* #,##0.00\ &quot;€&quot;_-;\-* #,##0.00\ &quot;€&quot;_-;_-* &quot;-&quot;??\ &quot;€&quot;_-;_-@"/>
    <numFmt numFmtId="167" formatCode="#,##0\ &quot;€&quot;"/>
    <numFmt numFmtId="168" formatCode="#,##0.0\ &quot;€&quot;"/>
    <numFmt numFmtId="169" formatCode="#,##0.00\ &quot;€&quot;"/>
  </numFmts>
  <fonts count="23">
    <font>
      <sz val="11.0"/>
      <color theme="1"/>
      <name val="Calibri"/>
      <scheme val="minor"/>
    </font>
    <font>
      <b/>
      <sz val="11.0"/>
      <color theme="1"/>
      <name val="Calibri"/>
    </font>
    <font>
      <b/>
      <sz val="16.0"/>
      <color theme="0"/>
      <name val="Calibri"/>
    </font>
    <font/>
    <font>
      <sz val="11.0"/>
      <color theme="1"/>
      <name val="Calibri"/>
    </font>
    <font>
      <color theme="1"/>
      <name val="Calibri"/>
      <scheme val="minor"/>
    </font>
    <font>
      <b/>
      <sz val="14.0"/>
      <color theme="0"/>
      <name val="Calibri"/>
    </font>
    <font>
      <b/>
      <sz val="12.0"/>
      <color theme="1"/>
      <name val="Calibri"/>
    </font>
    <font>
      <sz val="8.0"/>
      <color theme="1"/>
      <name val="Verdana"/>
    </font>
    <font>
      <sz val="10.0"/>
      <color theme="1"/>
      <name val="Calibri"/>
    </font>
    <font>
      <b/>
      <sz val="14.0"/>
      <color rgb="FFFFFFFF"/>
      <name val="Calibri"/>
    </font>
    <font>
      <b/>
      <u/>
      <color theme="1"/>
      <name val="Calibri"/>
      <scheme val="minor"/>
    </font>
    <font>
      <b/>
      <color theme="1"/>
      <name val="Calibri"/>
      <scheme val="minor"/>
    </font>
    <font>
      <i/>
      <sz val="11.0"/>
      <color theme="1"/>
      <name val="Calibri"/>
    </font>
    <font>
      <b/>
      <sz val="8.0"/>
      <color theme="1"/>
      <name val="Verdana"/>
    </font>
    <font>
      <b/>
      <sz val="11.0"/>
      <color theme="0"/>
      <name val="Calibri"/>
    </font>
    <font>
      <sz val="11.0"/>
      <color rgb="FFFF0000"/>
      <name val="Calibri"/>
    </font>
    <font>
      <b/>
      <sz val="10.0"/>
      <color theme="0"/>
      <name val="Verdana"/>
    </font>
    <font>
      <b/>
      <sz val="8.0"/>
      <color theme="0"/>
      <name val="Verdana"/>
    </font>
    <font>
      <sz val="10.0"/>
      <color theme="1"/>
      <name val="Verdana"/>
    </font>
    <font>
      <sz val="8.0"/>
      <color rgb="FF7030A0"/>
      <name val="Verdana"/>
    </font>
    <font>
      <b/>
      <sz val="10.0"/>
      <color theme="1"/>
      <name val="Verdana"/>
    </font>
    <font>
      <b/>
      <sz val="8.0"/>
      <color rgb="FF7030A0"/>
      <name val="Verdana"/>
    </font>
  </fonts>
  <fills count="19">
    <fill>
      <patternFill patternType="none"/>
    </fill>
    <fill>
      <patternFill patternType="lightGray"/>
    </fill>
    <fill>
      <patternFill patternType="solid">
        <fgColor rgb="FF0C0C0C"/>
        <bgColor rgb="FF0C0C0C"/>
      </patternFill>
    </fill>
    <fill>
      <patternFill patternType="solid">
        <fgColor rgb="FFFFD965"/>
        <bgColor rgb="FFFFD965"/>
      </patternFill>
    </fill>
    <fill>
      <patternFill patternType="solid">
        <fgColor rgb="FFBFBFBF"/>
        <bgColor rgb="FFBFBFBF"/>
      </patternFill>
    </fill>
    <fill>
      <patternFill patternType="solid">
        <fgColor rgb="FF548135"/>
        <bgColor rgb="FF548135"/>
      </patternFill>
    </fill>
    <fill>
      <patternFill patternType="solid">
        <fgColor rgb="FF2E75B5"/>
        <bgColor rgb="FF2E75B5"/>
      </patternFill>
    </fill>
    <fill>
      <patternFill patternType="solid">
        <fgColor rgb="FFC55A11"/>
        <bgColor rgb="FFC55A11"/>
      </patternFill>
    </fill>
    <fill>
      <patternFill patternType="solid">
        <fgColor rgb="FF666666"/>
        <bgColor rgb="FF666666"/>
      </patternFill>
    </fill>
    <fill>
      <patternFill patternType="solid">
        <fgColor rgb="FFC5E0B3"/>
        <bgColor rgb="FFC5E0B3"/>
      </patternFill>
    </fill>
    <fill>
      <patternFill patternType="solid">
        <fgColor theme="5"/>
        <bgColor theme="5"/>
      </patternFill>
    </fill>
    <fill>
      <patternFill patternType="solid">
        <fgColor theme="8"/>
        <bgColor theme="8"/>
      </patternFill>
    </fill>
    <fill>
      <patternFill patternType="solid">
        <fgColor rgb="FF8EAADB"/>
        <bgColor rgb="FF8EAADB"/>
      </patternFill>
    </fill>
    <fill>
      <patternFill patternType="solid">
        <fgColor rgb="FF8496B0"/>
        <bgColor rgb="FF8496B0"/>
      </patternFill>
    </fill>
    <fill>
      <patternFill patternType="solid">
        <fgColor rgb="FFF4B083"/>
        <bgColor rgb="FFF4B083"/>
      </patternFill>
    </fill>
    <fill>
      <patternFill patternType="solid">
        <fgColor rgb="FFD8D8D8"/>
        <bgColor rgb="FFD8D8D8"/>
      </patternFill>
    </fill>
    <fill>
      <patternFill patternType="solid">
        <fgColor rgb="FFADB9CA"/>
        <bgColor rgb="FFADB9CA"/>
      </patternFill>
    </fill>
    <fill>
      <patternFill patternType="solid">
        <fgColor theme="0"/>
        <bgColor theme="0"/>
      </patternFill>
    </fill>
    <fill>
      <patternFill patternType="solid">
        <fgColor rgb="FF9CC2E5"/>
        <bgColor rgb="FF9CC2E5"/>
      </patternFill>
    </fill>
  </fills>
  <borders count="37">
    <border/>
    <border>
      <left/>
      <top/>
      <bottom/>
    </border>
    <border>
      <top/>
      <bottom/>
    </border>
    <border>
      <right/>
      <top/>
      <bottom/>
    </border>
    <border>
      <left style="thin">
        <color rgb="FF000000"/>
      </left>
      <right style="thin">
        <color rgb="FF000000"/>
      </right>
      <top style="thin">
        <color rgb="FF000000"/>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right style="thin">
        <color rgb="FF000000"/>
      </right>
    </border>
    <border>
      <left style="thin">
        <color rgb="FF000000"/>
      </left>
      <right style="thin">
        <color rgb="FF000000"/>
      </right>
    </border>
    <border>
      <left style="thin">
        <color rgb="FF000000"/>
      </left>
      <right style="medium">
        <color rgb="FF000000"/>
      </right>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border>
    <border>
      <right style="medium">
        <color rgb="FF000000"/>
      </right>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bottom style="medium">
        <color rgb="FF000000"/>
      </bottom>
    </border>
    <border>
      <right style="medium">
        <color rgb="FF000000"/>
      </right>
      <bottom style="medium">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top/>
      <bottom/>
    </border>
    <border>
      <right style="medium">
        <color rgb="FF000000"/>
      </right>
      <top/>
      <bottom/>
    </border>
    <border>
      <left/>
      <right/>
      <top/>
      <bottom/>
    </border>
    <border>
      <left/>
      <top/>
      <bottom style="thin">
        <color rgb="FF000000"/>
      </bottom>
    </border>
    <border>
      <top/>
      <bottom style="thin">
        <color rgb="FF000000"/>
      </bottom>
    </border>
    <border>
      <right/>
      <top/>
      <bottom style="thin">
        <color rgb="FF000000"/>
      </bottom>
    </border>
  </borders>
  <cellStyleXfs count="1">
    <xf borderId="0" fillId="0" fontId="0" numFmtId="0" applyAlignment="1" applyFont="1"/>
  </cellStyleXfs>
  <cellXfs count="159">
    <xf borderId="0" fillId="0" fontId="0" numFmtId="0" xfId="0" applyAlignment="1" applyFont="1">
      <alignment readingOrder="0" shrinkToFit="0" vertical="bottom" wrapText="0"/>
    </xf>
    <xf borderId="0" fillId="0" fontId="1" numFmtId="0" xfId="0" applyFont="1"/>
    <xf borderId="0" fillId="0" fontId="1" numFmtId="0" xfId="0" applyAlignment="1" applyFont="1">
      <alignment readingOrder="0"/>
    </xf>
    <xf borderId="1" fillId="2" fontId="2" numFmtId="0" xfId="0" applyAlignment="1" applyBorder="1" applyFill="1" applyFont="1">
      <alignment horizontal="center"/>
    </xf>
    <xf borderId="2" fillId="0" fontId="3" numFmtId="0" xfId="0" applyBorder="1" applyFont="1"/>
    <xf borderId="3" fillId="0" fontId="3" numFmtId="0" xfId="0" applyBorder="1" applyFont="1"/>
    <xf borderId="4" fillId="0" fontId="4" numFmtId="0" xfId="0" applyBorder="1" applyFont="1"/>
    <xf borderId="4" fillId="0" fontId="4" numFmtId="0" xfId="0" applyAlignment="1" applyBorder="1" applyFont="1">
      <alignment horizontal="center"/>
    </xf>
    <xf borderId="4" fillId="0" fontId="4" numFmtId="1" xfId="0" applyAlignment="1" applyBorder="1" applyFont="1" applyNumberFormat="1">
      <alignment horizontal="center"/>
    </xf>
    <xf borderId="4" fillId="0" fontId="4" numFmtId="9" xfId="0" applyAlignment="1" applyBorder="1" applyFont="1" applyNumberFormat="1">
      <alignment horizontal="center"/>
    </xf>
    <xf borderId="4" fillId="0" fontId="4" numFmtId="2" xfId="0" applyAlignment="1" applyBorder="1" applyFont="1" applyNumberFormat="1">
      <alignment horizontal="center"/>
    </xf>
    <xf borderId="0" fillId="0" fontId="5" numFmtId="0" xfId="0" applyFont="1"/>
    <xf borderId="4" fillId="0" fontId="5" numFmtId="0" xfId="0" applyBorder="1" applyFont="1"/>
    <xf borderId="4" fillId="0" fontId="5" numFmtId="0" xfId="0" applyBorder="1" applyFont="1"/>
    <xf borderId="0" fillId="0" fontId="4" numFmtId="0" xfId="0" applyAlignment="1" applyFont="1">
      <alignment horizontal="center" shrinkToFit="0" vertical="center" wrapText="1"/>
    </xf>
    <xf borderId="0" fillId="0" fontId="4" numFmtId="0" xfId="0" applyAlignment="1" applyFont="1">
      <alignment horizontal="center" readingOrder="0" shrinkToFit="0" vertical="center" wrapText="1"/>
    </xf>
    <xf borderId="0" fillId="0" fontId="5" numFmtId="0" xfId="0" applyAlignment="1" applyFont="1">
      <alignment readingOrder="0"/>
    </xf>
    <xf borderId="0" fillId="0" fontId="5" numFmtId="0" xfId="0" applyAlignment="1" applyFont="1">
      <alignment horizontal="right"/>
    </xf>
    <xf borderId="4" fillId="3" fontId="4" numFmtId="0" xfId="0" applyBorder="1" applyFill="1" applyFont="1"/>
    <xf borderId="4" fillId="4" fontId="4" numFmtId="0" xfId="0" applyBorder="1" applyFill="1" applyFont="1"/>
    <xf borderId="0" fillId="0" fontId="4" numFmtId="0" xfId="0" applyFont="1"/>
    <xf borderId="1" fillId="5" fontId="6" numFmtId="0" xfId="0" applyAlignment="1" applyBorder="1" applyFill="1" applyFont="1">
      <alignment horizontal="center" vertical="center"/>
    </xf>
    <xf borderId="0" fillId="0" fontId="6" numFmtId="0" xfId="0" applyAlignment="1" applyFont="1">
      <alignment vertical="center"/>
    </xf>
    <xf borderId="0" fillId="0" fontId="7" numFmtId="0" xfId="0" applyFont="1"/>
    <xf borderId="5" fillId="0" fontId="7" numFmtId="0" xfId="0" applyBorder="1" applyFont="1"/>
    <xf borderId="6" fillId="0" fontId="4" numFmtId="0" xfId="0" applyBorder="1" applyFont="1"/>
    <xf borderId="7" fillId="0" fontId="4" numFmtId="0" xfId="0" applyBorder="1" applyFont="1"/>
    <xf borderId="8" fillId="0" fontId="4" numFmtId="0" xfId="0" applyAlignment="1" applyBorder="1" applyFont="1">
      <alignment horizontal="center" vertical="center"/>
    </xf>
    <xf borderId="9" fillId="0" fontId="4" numFmtId="0" xfId="0" applyAlignment="1" applyBorder="1" applyFont="1">
      <alignment horizontal="center" shrinkToFit="0" vertical="center" wrapText="1"/>
    </xf>
    <xf borderId="10" fillId="0" fontId="4" numFmtId="0" xfId="0" applyAlignment="1" applyBorder="1" applyFont="1">
      <alignment horizontal="center" shrinkToFit="0" vertical="center" wrapText="1"/>
    </xf>
    <xf borderId="11" fillId="0" fontId="3" numFmtId="0" xfId="0" applyBorder="1" applyFont="1"/>
    <xf borderId="12" fillId="0" fontId="3" numFmtId="0" xfId="0" applyBorder="1" applyFont="1"/>
    <xf borderId="13" fillId="0" fontId="3" numFmtId="0" xfId="0" applyBorder="1" applyFont="1"/>
    <xf borderId="14" fillId="0" fontId="3" numFmtId="0" xfId="0" applyBorder="1" applyFont="1"/>
    <xf borderId="15" fillId="0" fontId="3" numFmtId="0" xfId="0" applyBorder="1" applyFont="1"/>
    <xf borderId="16" fillId="0" fontId="3" numFmtId="0" xfId="0" applyBorder="1" applyFont="1"/>
    <xf borderId="17" fillId="0" fontId="4" numFmtId="0" xfId="0" applyBorder="1" applyFont="1"/>
    <xf borderId="18" fillId="0" fontId="4" numFmtId="0" xfId="0" applyBorder="1" applyFont="1"/>
    <xf borderId="19" fillId="0" fontId="3" numFmtId="0" xfId="0" applyBorder="1" applyFont="1"/>
    <xf borderId="20" fillId="0" fontId="3" numFmtId="0" xfId="0" applyBorder="1" applyFont="1"/>
    <xf borderId="21" fillId="0" fontId="4" numFmtId="0" xfId="0" applyBorder="1" applyFont="1"/>
    <xf borderId="22" fillId="0" fontId="4" numFmtId="0" xfId="0" applyBorder="1" applyFont="1"/>
    <xf borderId="1" fillId="6" fontId="6" numFmtId="0" xfId="0" applyAlignment="1" applyBorder="1" applyFill="1" applyFont="1">
      <alignment horizontal="center" vertical="center"/>
    </xf>
    <xf borderId="0" fillId="0" fontId="7" numFmtId="0" xfId="0" applyAlignment="1" applyFont="1">
      <alignment horizontal="left" vertical="center"/>
    </xf>
    <xf borderId="0" fillId="0" fontId="6" numFmtId="0" xfId="0" applyAlignment="1" applyFont="1">
      <alignment horizontal="center" vertical="center"/>
    </xf>
    <xf borderId="23" fillId="0" fontId="4" numFmtId="0" xfId="0" applyAlignment="1" applyBorder="1" applyFont="1">
      <alignment horizontal="center"/>
    </xf>
    <xf borderId="24" fillId="0" fontId="3" numFmtId="0" xfId="0" applyBorder="1" applyFont="1"/>
    <xf borderId="25" fillId="0" fontId="3" numFmtId="0" xfId="0" applyBorder="1" applyFont="1"/>
    <xf borderId="26" fillId="0" fontId="4" numFmtId="0" xfId="0" applyBorder="1" applyFont="1"/>
    <xf borderId="27" fillId="0" fontId="4" numFmtId="0" xfId="0" applyBorder="1" applyFont="1"/>
    <xf borderId="4" fillId="3" fontId="8" numFmtId="0" xfId="0" applyAlignment="1" applyBorder="1" applyFont="1">
      <alignment vertical="center"/>
    </xf>
    <xf borderId="26" fillId="4" fontId="4" numFmtId="164" xfId="0" applyBorder="1" applyFont="1" applyNumberFormat="1"/>
    <xf borderId="0" fillId="0" fontId="1" numFmtId="0" xfId="0" applyAlignment="1" applyFont="1">
      <alignment horizontal="right"/>
    </xf>
    <xf borderId="28" fillId="0" fontId="4" numFmtId="0" xfId="0" applyBorder="1" applyFont="1"/>
    <xf borderId="29" fillId="0" fontId="9" numFmtId="0" xfId="0" applyAlignment="1" applyBorder="1" applyFont="1">
      <alignment horizontal="right"/>
    </xf>
    <xf borderId="29" fillId="4" fontId="8" numFmtId="0" xfId="0" applyAlignment="1" applyBorder="1" applyFont="1">
      <alignment vertical="center"/>
    </xf>
    <xf borderId="5" fillId="0" fontId="4" numFmtId="0" xfId="0" applyBorder="1" applyFont="1"/>
    <xf borderId="8" fillId="0" fontId="4" numFmtId="0" xfId="0" applyAlignment="1" applyBorder="1" applyFont="1">
      <alignment horizontal="center" shrinkToFit="0" vertical="center" wrapText="1"/>
    </xf>
    <xf borderId="4" fillId="3" fontId="8" numFmtId="9" xfId="0" applyAlignment="1" applyBorder="1" applyFont="1" applyNumberFormat="1">
      <alignment vertical="center"/>
    </xf>
    <xf borderId="26" fillId="4" fontId="4" numFmtId="9" xfId="0" applyBorder="1" applyFont="1" applyNumberFormat="1"/>
    <xf borderId="30" fillId="0" fontId="1" numFmtId="9" xfId="0" applyBorder="1" applyFont="1" applyNumberFormat="1"/>
    <xf borderId="1" fillId="7" fontId="6" numFmtId="0" xfId="0" applyAlignment="1" applyBorder="1" applyFill="1" applyFont="1">
      <alignment horizontal="center" vertical="center"/>
    </xf>
    <xf borderId="1" fillId="8" fontId="10" numFmtId="0" xfId="0" applyAlignment="1" applyBorder="1" applyFill="1" applyFont="1">
      <alignment horizontal="center" readingOrder="0" vertical="center"/>
    </xf>
    <xf borderId="2" fillId="0" fontId="10" numFmtId="0" xfId="0" applyAlignment="1" applyBorder="1" applyFont="1">
      <alignment horizontal="center" readingOrder="0" vertical="center"/>
    </xf>
    <xf borderId="3" fillId="0" fontId="10" numFmtId="0" xfId="0" applyAlignment="1" applyBorder="1" applyFont="1">
      <alignment horizontal="center" readingOrder="0" vertical="center"/>
    </xf>
    <xf borderId="0" fillId="0" fontId="11" numFmtId="0" xfId="0" applyAlignment="1" applyFont="1">
      <alignment readingOrder="0"/>
    </xf>
    <xf borderId="0" fillId="0" fontId="12" numFmtId="0" xfId="0" applyAlignment="1" applyFont="1">
      <alignment readingOrder="0"/>
    </xf>
    <xf borderId="31" fillId="9" fontId="7" numFmtId="0" xfId="0" applyAlignment="1" applyBorder="1" applyFill="1" applyFont="1">
      <alignment horizontal="center"/>
    </xf>
    <xf borderId="32" fillId="0" fontId="3" numFmtId="0" xfId="0" applyBorder="1" applyFont="1"/>
    <xf borderId="9" fillId="0" fontId="1" numFmtId="0" xfId="0" applyAlignment="1" applyBorder="1" applyFont="1">
      <alignment horizontal="center" shrinkToFit="0" vertical="center" wrapText="1"/>
    </xf>
    <xf borderId="4" fillId="0" fontId="1" numFmtId="0" xfId="0" applyAlignment="1" applyBorder="1" applyFont="1">
      <alignment horizontal="center" shrinkToFit="0" vertical="center" wrapText="1"/>
    </xf>
    <xf borderId="4" fillId="0" fontId="13" numFmtId="0" xfId="0" applyBorder="1" applyFont="1"/>
    <xf borderId="4" fillId="0" fontId="13" numFmtId="1" xfId="0" applyBorder="1" applyFont="1" applyNumberFormat="1"/>
    <xf borderId="4" fillId="0" fontId="1" numFmtId="0" xfId="0" applyAlignment="1" applyBorder="1" applyFont="1">
      <alignment horizontal="center" vertical="center"/>
    </xf>
    <xf borderId="4" fillId="0" fontId="4" numFmtId="0" xfId="0" applyAlignment="1" applyBorder="1" applyFont="1">
      <alignment horizontal="center" vertical="center"/>
    </xf>
    <xf borderId="26" fillId="0" fontId="4" numFmtId="0" xfId="0" applyAlignment="1" applyBorder="1" applyFont="1">
      <alignment horizontal="center" vertical="center"/>
    </xf>
    <xf borderId="4" fillId="0" fontId="1" numFmtId="0" xfId="0" applyAlignment="1" applyBorder="1" applyFont="1">
      <alignment horizontal="right"/>
    </xf>
    <xf borderId="4" fillId="3" fontId="14" numFmtId="0" xfId="0" applyAlignment="1" applyBorder="1" applyFont="1">
      <alignment readingOrder="0" vertical="center"/>
    </xf>
    <xf borderId="0" fillId="0" fontId="4" numFmtId="0" xfId="0" applyAlignment="1" applyFont="1">
      <alignment horizontal="right"/>
    </xf>
    <xf borderId="4" fillId="10" fontId="15" numFmtId="0" xfId="0" applyBorder="1" applyFill="1" applyFont="1"/>
    <xf borderId="4" fillId="0" fontId="4" numFmtId="0" xfId="0" applyAlignment="1" applyBorder="1" applyFont="1">
      <alignment horizontal="right"/>
    </xf>
    <xf borderId="4" fillId="4" fontId="4" numFmtId="2" xfId="0" applyBorder="1" applyFont="1" applyNumberFormat="1"/>
    <xf borderId="4" fillId="11" fontId="15" numFmtId="0" xfId="0" applyBorder="1" applyFill="1" applyFont="1"/>
    <xf borderId="4" fillId="0" fontId="1" numFmtId="0" xfId="0" applyBorder="1" applyFont="1"/>
    <xf borderId="4" fillId="4" fontId="1" numFmtId="0" xfId="0" applyBorder="1" applyFont="1"/>
    <xf borderId="4" fillId="4" fontId="4" numFmtId="9" xfId="0" applyBorder="1" applyFont="1" applyNumberFormat="1"/>
    <xf borderId="4" fillId="4" fontId="1" numFmtId="2" xfId="0" applyBorder="1" applyFont="1" applyNumberFormat="1"/>
    <xf borderId="4" fillId="4" fontId="8" numFmtId="1" xfId="0" applyAlignment="1" applyBorder="1" applyFont="1" applyNumberFormat="1">
      <alignment vertical="center"/>
    </xf>
    <xf borderId="4" fillId="4" fontId="14" numFmtId="1" xfId="0" applyAlignment="1" applyBorder="1" applyFont="1" applyNumberFormat="1">
      <alignment vertical="center"/>
    </xf>
    <xf borderId="4" fillId="4" fontId="4" numFmtId="1" xfId="0" applyBorder="1" applyFont="1" applyNumberFormat="1"/>
    <xf borderId="1" fillId="12" fontId="15" numFmtId="0" xfId="0" applyAlignment="1" applyBorder="1" applyFill="1" applyFont="1">
      <alignment horizontal="center"/>
    </xf>
    <xf borderId="0" fillId="0" fontId="15" numFmtId="0" xfId="0" applyAlignment="1" applyFont="1">
      <alignment horizontal="center"/>
    </xf>
    <xf borderId="4" fillId="4" fontId="14" numFmtId="0" xfId="0" applyAlignment="1" applyBorder="1" applyFont="1">
      <alignment vertical="center"/>
    </xf>
    <xf borderId="4" fillId="4" fontId="4" numFmtId="164" xfId="0" applyBorder="1" applyFont="1" applyNumberFormat="1"/>
    <xf borderId="4" fillId="4" fontId="8" numFmtId="0" xfId="0" applyAlignment="1" applyBorder="1" applyFont="1">
      <alignment vertical="center"/>
    </xf>
    <xf borderId="9" fillId="0" fontId="4" numFmtId="0" xfId="0" applyAlignment="1" applyBorder="1" applyFont="1">
      <alignment horizontal="center" textRotation="90" vertical="center"/>
    </xf>
    <xf borderId="4" fillId="4" fontId="1" numFmtId="1" xfId="0" applyBorder="1" applyFont="1" applyNumberFormat="1"/>
    <xf borderId="0" fillId="0" fontId="1" numFmtId="0" xfId="0" applyAlignment="1" applyFont="1">
      <alignment horizontal="center"/>
    </xf>
    <xf borderId="4" fillId="0" fontId="1" numFmtId="0" xfId="0" applyAlignment="1" applyBorder="1" applyFont="1">
      <alignment horizontal="center"/>
    </xf>
    <xf borderId="4" fillId="4" fontId="8" numFmtId="9" xfId="0" applyAlignment="1" applyBorder="1" applyFont="1" applyNumberFormat="1">
      <alignment vertical="center"/>
    </xf>
    <xf borderId="1" fillId="13" fontId="15" numFmtId="0" xfId="0" applyAlignment="1" applyBorder="1" applyFill="1" applyFont="1">
      <alignment horizontal="center"/>
    </xf>
    <xf borderId="4" fillId="3" fontId="8" numFmtId="10" xfId="0" applyAlignment="1" applyBorder="1" applyFont="1" applyNumberFormat="1">
      <alignment vertical="center"/>
    </xf>
    <xf borderId="0" fillId="0" fontId="4" numFmtId="0" xfId="0" applyAlignment="1" applyFont="1">
      <alignment horizontal="center" textRotation="90" vertical="center"/>
    </xf>
    <xf borderId="4" fillId="0" fontId="1" numFmtId="9" xfId="0" applyBorder="1" applyFont="1" applyNumberFormat="1"/>
    <xf borderId="0" fillId="0" fontId="16" numFmtId="0" xfId="0" applyFont="1"/>
    <xf borderId="4" fillId="4" fontId="4" numFmtId="165" xfId="0" applyBorder="1" applyFont="1" applyNumberFormat="1"/>
    <xf borderId="4" fillId="4" fontId="4" numFmtId="166" xfId="0" applyBorder="1" applyFont="1" applyNumberFormat="1"/>
    <xf borderId="1" fillId="14" fontId="1" numFmtId="0" xfId="0" applyAlignment="1" applyBorder="1" applyFill="1" applyFont="1">
      <alignment horizontal="center"/>
    </xf>
    <xf borderId="4" fillId="3" fontId="8" numFmtId="167" xfId="0" applyAlignment="1" applyBorder="1" applyFont="1" applyNumberFormat="1">
      <alignment vertical="center"/>
    </xf>
    <xf borderId="4" fillId="4" fontId="4" numFmtId="167" xfId="0" applyBorder="1" applyFont="1" applyNumberFormat="1"/>
    <xf borderId="23" fillId="0" fontId="4" numFmtId="0" xfId="0" applyAlignment="1" applyBorder="1" applyFont="1">
      <alignment horizontal="right"/>
    </xf>
    <xf borderId="23" fillId="7" fontId="17" numFmtId="0" xfId="0" applyAlignment="1" applyBorder="1" applyFont="1">
      <alignment horizontal="center" vertical="center"/>
    </xf>
    <xf borderId="4" fillId="7" fontId="18" numFmtId="0" xfId="0" applyAlignment="1" applyBorder="1" applyFont="1">
      <alignment vertical="center"/>
    </xf>
    <xf borderId="23" fillId="7" fontId="18" numFmtId="0" xfId="0" applyAlignment="1" applyBorder="1" applyFont="1">
      <alignment horizontal="center" vertical="center"/>
    </xf>
    <xf borderId="23" fillId="0" fontId="19" numFmtId="0" xfId="0" applyAlignment="1" applyBorder="1" applyFont="1">
      <alignment horizontal="center" vertical="center"/>
    </xf>
    <xf borderId="4" fillId="4" fontId="8" numFmtId="167" xfId="0" applyAlignment="1" applyBorder="1" applyFont="1" applyNumberFormat="1">
      <alignment vertical="center"/>
    </xf>
    <xf quotePrefix="1" borderId="23" fillId="0" fontId="20" numFmtId="168" xfId="0" applyAlignment="1" applyBorder="1" applyFont="1" applyNumberFormat="1">
      <alignment horizontal="left" vertical="center"/>
    </xf>
    <xf borderId="23" fillId="0" fontId="20" numFmtId="168" xfId="0" applyAlignment="1" applyBorder="1" applyFont="1" applyNumberFormat="1">
      <alignment horizontal="left" vertical="center"/>
    </xf>
    <xf borderId="23" fillId="15" fontId="19" numFmtId="0" xfId="0" applyAlignment="1" applyBorder="1" applyFill="1" applyFont="1">
      <alignment horizontal="center" vertical="center"/>
    </xf>
    <xf borderId="23" fillId="15" fontId="8" numFmtId="168" xfId="0" applyAlignment="1" applyBorder="1" applyFont="1" applyNumberFormat="1">
      <alignment horizontal="center" vertical="center"/>
    </xf>
    <xf borderId="23" fillId="16" fontId="21" numFmtId="0" xfId="0" applyAlignment="1" applyBorder="1" applyFill="1" applyFont="1">
      <alignment horizontal="center" vertical="center"/>
    </xf>
    <xf borderId="4" fillId="4" fontId="14" numFmtId="167" xfId="0" applyAlignment="1" applyBorder="1" applyFont="1" applyNumberFormat="1">
      <alignment vertical="center"/>
    </xf>
    <xf borderId="23" fillId="16" fontId="14" numFmtId="167" xfId="0" applyAlignment="1" applyBorder="1" applyFont="1" applyNumberFormat="1">
      <alignment horizontal="center" vertical="center"/>
    </xf>
    <xf borderId="23" fillId="0" fontId="22" numFmtId="168" xfId="0" applyAlignment="1" applyBorder="1" applyFont="1" applyNumberFormat="1">
      <alignment horizontal="left" vertical="center"/>
    </xf>
    <xf borderId="23" fillId="17" fontId="19" numFmtId="0" xfId="0" applyAlignment="1" applyBorder="1" applyFill="1" applyFont="1">
      <alignment horizontal="center" vertical="center"/>
    </xf>
    <xf borderId="23" fillId="7" fontId="18" numFmtId="0" xfId="0" applyAlignment="1" applyBorder="1" applyFont="1">
      <alignment horizontal="center" shrinkToFit="0" vertical="center" wrapText="1"/>
    </xf>
    <xf borderId="23" fillId="15" fontId="21" numFmtId="0" xfId="0" applyAlignment="1" applyBorder="1" applyFont="1">
      <alignment horizontal="center" vertical="center"/>
    </xf>
    <xf borderId="4" fillId="16" fontId="14" numFmtId="167" xfId="0" applyAlignment="1" applyBorder="1" applyFont="1" applyNumberFormat="1">
      <alignment vertical="center"/>
    </xf>
    <xf borderId="23" fillId="16" fontId="21" numFmtId="0" xfId="0" applyAlignment="1" applyBorder="1" applyFont="1">
      <alignment horizontal="center"/>
    </xf>
    <xf borderId="23" fillId="0" fontId="8" numFmtId="0" xfId="0" applyAlignment="1" applyBorder="1" applyFont="1">
      <alignment horizontal="center" vertical="center"/>
    </xf>
    <xf borderId="4" fillId="4" fontId="14" numFmtId="2" xfId="0" applyAlignment="1" applyBorder="1" applyFont="1" applyNumberFormat="1">
      <alignment vertical="center"/>
    </xf>
    <xf borderId="23" fillId="16" fontId="14" numFmtId="0" xfId="0" applyAlignment="1" applyBorder="1" applyFont="1">
      <alignment horizontal="center" vertical="center"/>
    </xf>
    <xf borderId="4" fillId="16" fontId="14" numFmtId="169" xfId="0" applyAlignment="1" applyBorder="1" applyFont="1" applyNumberFormat="1">
      <alignment vertical="center"/>
    </xf>
    <xf quotePrefix="1" borderId="0" fillId="0" fontId="19" numFmtId="0" xfId="0" applyAlignment="1" applyFont="1">
      <alignment horizontal="left" vertical="center"/>
    </xf>
    <xf borderId="0" fillId="0" fontId="14" numFmtId="0" xfId="0" applyAlignment="1" applyFont="1">
      <alignment horizontal="center" vertical="center"/>
    </xf>
    <xf borderId="0" fillId="0" fontId="8" numFmtId="167" xfId="0" applyAlignment="1" applyFont="1" applyNumberFormat="1">
      <alignment horizontal="center" vertical="center"/>
    </xf>
    <xf borderId="0" fillId="0" fontId="8" numFmtId="165" xfId="0" applyAlignment="1" applyFont="1" applyNumberFormat="1">
      <alignment horizontal="center" vertical="center"/>
    </xf>
    <xf borderId="0" fillId="0" fontId="19" numFmtId="0" xfId="0" applyAlignment="1" applyFont="1">
      <alignment horizontal="left" vertical="center"/>
    </xf>
    <xf borderId="0" fillId="0" fontId="19" numFmtId="0" xfId="0" applyAlignment="1" applyFont="1">
      <alignment horizontal="left"/>
    </xf>
    <xf borderId="0" fillId="0" fontId="19" numFmtId="0" xfId="0" applyFont="1"/>
    <xf borderId="4" fillId="0" fontId="5" numFmtId="9" xfId="0" applyBorder="1" applyFont="1" applyNumberFormat="1"/>
    <xf borderId="4" fillId="0" fontId="5" numFmtId="2" xfId="0" applyBorder="1" applyFont="1" applyNumberFormat="1"/>
    <xf borderId="4" fillId="0" fontId="5" numFmtId="1" xfId="0" applyBorder="1" applyFont="1" applyNumberFormat="1"/>
    <xf borderId="4" fillId="0" fontId="5" numFmtId="165" xfId="0" applyBorder="1" applyFont="1" applyNumberFormat="1"/>
    <xf borderId="4" fillId="0" fontId="5" numFmtId="166" xfId="0" applyBorder="1" applyFont="1" applyNumberFormat="1"/>
    <xf borderId="33" fillId="9" fontId="4" numFmtId="0" xfId="0" applyBorder="1" applyFont="1"/>
    <xf borderId="1" fillId="9" fontId="7" numFmtId="0" xfId="0" applyAlignment="1" applyBorder="1" applyFont="1">
      <alignment horizontal="center"/>
    </xf>
    <xf borderId="4" fillId="0" fontId="13" numFmtId="9" xfId="0" applyBorder="1" applyFont="1" applyNumberFormat="1"/>
    <xf borderId="4" fillId="0" fontId="4" numFmtId="9" xfId="0" applyAlignment="1" applyBorder="1" applyFont="1" applyNumberFormat="1">
      <alignment horizontal="center" vertical="center"/>
    </xf>
    <xf borderId="4" fillId="0" fontId="13" numFmtId="2" xfId="0" applyBorder="1" applyFont="1" applyNumberFormat="1"/>
    <xf borderId="4" fillId="0" fontId="4" numFmtId="2" xfId="0" applyAlignment="1" applyBorder="1" applyFont="1" applyNumberFormat="1">
      <alignment horizontal="center" vertical="center"/>
    </xf>
    <xf borderId="33" fillId="18" fontId="4" numFmtId="0" xfId="0" applyBorder="1" applyFill="1" applyFont="1"/>
    <xf borderId="34" fillId="18" fontId="7" numFmtId="0" xfId="0" applyAlignment="1" applyBorder="1" applyFont="1">
      <alignment horizontal="center"/>
    </xf>
    <xf borderId="35" fillId="0" fontId="3" numFmtId="0" xfId="0" applyBorder="1" applyFont="1"/>
    <xf borderId="36" fillId="0" fontId="3" numFmtId="0" xfId="0" applyBorder="1" applyFont="1"/>
    <xf borderId="4" fillId="0" fontId="4" numFmtId="1" xfId="0" applyAlignment="1" applyBorder="1" applyFont="1" applyNumberFormat="1">
      <alignment horizontal="center" vertical="center"/>
    </xf>
    <xf borderId="4" fillId="0" fontId="1" numFmtId="9" xfId="0" applyAlignment="1" applyBorder="1" applyFont="1" applyNumberFormat="1">
      <alignment horizontal="center" shrinkToFit="0" vertical="center" wrapText="1"/>
    </xf>
    <xf borderId="33" fillId="14" fontId="4" numFmtId="0" xfId="0" applyBorder="1" applyFont="1"/>
    <xf borderId="1" fillId="14" fontId="7" numFmtId="0" xfId="0" applyAlignment="1" applyBorder="1" applyFont="1">
      <alignment horizontal="center"/>
    </xf>
  </cellXfs>
  <cellStyles count="1">
    <cellStyle xfId="0" name="Normal" builtinId="0"/>
  </cellStyles>
  <dxfs count="7">
    <dxf>
      <font/>
      <fill>
        <patternFill patternType="none"/>
      </fill>
      <border/>
    </dxf>
    <dxf>
      <font/>
      <fill>
        <patternFill patternType="solid">
          <fgColor theme="0"/>
          <bgColor theme="0"/>
        </patternFill>
      </fill>
      <border/>
    </dxf>
    <dxf>
      <font/>
      <fill>
        <patternFill patternType="solid">
          <fgColor rgb="FFD8D8D8"/>
          <bgColor rgb="FFD8D8D8"/>
        </patternFill>
      </fill>
      <border/>
    </dxf>
    <dxf>
      <font/>
      <fill>
        <patternFill patternType="solid">
          <fgColor rgb="FFD9E2F3"/>
          <bgColor rgb="FFD9E2F3"/>
        </patternFill>
      </fill>
      <border/>
    </dxf>
    <dxf>
      <font>
        <b/>
        <color theme="0"/>
      </font>
      <fill>
        <patternFill patternType="solid">
          <fgColor rgb="FF8496B0"/>
          <bgColor rgb="FF8496B0"/>
        </patternFill>
      </fill>
      <border/>
    </dxf>
    <dxf>
      <font/>
      <fill>
        <patternFill patternType="solid">
          <fgColor theme="9"/>
          <bgColor theme="9"/>
        </patternFill>
      </fill>
      <border/>
    </dxf>
    <dxf>
      <font/>
      <fill>
        <patternFill patternType="solid">
          <fgColor rgb="FFFF0000"/>
          <bgColor rgb="FFFF0000"/>
        </patternFill>
      </fill>
      <border/>
    </dxf>
  </dxfs>
  <tableStyles count="2">
    <tableStyle count="3" pivot="0" name="DATA-style">
      <tableStyleElement dxfId="1" type="headerRow"/>
      <tableStyleElement dxfId="2" type="firstRowStripe"/>
      <tableStyleElement dxfId="3" type="secondRowStripe"/>
    </tableStyle>
    <tableStyle count="3" pivot="0" name="SAISIE-style">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A40:X40" displayName="Table_1" id="1">
  <tableColumns count="24">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s>
  <tableStyleInfo name="DATA-style"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ref="B241:X242" displayName="Table_2" id="2">
  <tableColumns count="23">
    <tableColumn name="Surface cultivée" id="1"/>
    <tableColumn name="Part de la surface cultivée sous abri" id="2"/>
    <tableColumn name="Intensification des surfaces" id="3"/>
    <tableColumn name="Surface développée" id="4"/>
    <tableColumn name="Part de la surface développée sous abri" id="5"/>
    <tableColumn name="ETP/ha" id="6"/>
    <tableColumn name="Heures de travail sur 1000 m² développés" id="7"/>
    <tableColumn name="% de temps de production" id="8"/>
    <tableColumn name="% de temps de préparation et récolte" id="9"/>
    <tableColumn name="% de temps de commercialisation" id="10"/>
    <tableColumn name="% de temps de gestion" id="11"/>
    <tableColumn name="CA/ha" id="12"/>
    <tableColumn name="CA/m2" id="13"/>
    <tableColumn name="Charges/m2" id="14"/>
    <tableColumn name="% charges opérationnelles" id="15"/>
    <tableColumn name="% charges de main d'œuvre" id="16"/>
    <tableColumn name="% charges de structure spécifiques" id="17"/>
    <tableColumn name="% charges de structure communes" id="18"/>
    <tableColumn name="Efficacité économique (CA/charges)" id="19"/>
    <tableColumn name="Poids de la dette (annuités/EBE)" id="20"/>
    <tableColumn name="EBE" id="21"/>
    <tableColumn name="Revenu par maraîcher" id="22"/>
    <tableColumn name="Revenu horaire" id="23"/>
  </tableColumns>
  <tableStyleInfo name="SAISIE-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3"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38.0"/>
    <col customWidth="1" min="3" max="3" width="34.14"/>
    <col customWidth="1" min="4" max="4" width="27.29"/>
    <col customWidth="1" min="5" max="5" width="20.86"/>
    <col customWidth="1" min="6" max="6" width="37.71"/>
    <col customWidth="1" min="7" max="7" width="10.71"/>
    <col customWidth="1" min="8" max="8" width="39.43"/>
    <col customWidth="1" min="9" max="9" width="26.29"/>
    <col customWidth="1" min="10" max="10" width="36.0"/>
    <col customWidth="1" min="11" max="11" width="32.86"/>
    <col customWidth="1" min="12" max="12" width="23.14"/>
    <col customWidth="1" min="13" max="14" width="10.71"/>
    <col customWidth="1" min="15" max="15" width="13.71"/>
    <col customWidth="1" min="16" max="16" width="26.43"/>
    <col customWidth="1" min="17" max="17" width="27.43"/>
    <col customWidth="1" min="18" max="18" width="33.57"/>
    <col customWidth="1" min="19" max="19" width="33.14"/>
    <col customWidth="1" min="20" max="20" width="34.71"/>
    <col customWidth="1" min="21" max="21" width="31.57"/>
    <col customWidth="1" min="22" max="22" width="10.71"/>
    <col customWidth="1" min="23" max="23" width="22.43"/>
    <col customWidth="1" min="24" max="24" width="16.71"/>
    <col customWidth="1" min="25" max="26" width="10.71"/>
  </cols>
  <sheetData>
    <row r="2">
      <c r="B2" s="1" t="s">
        <v>0</v>
      </c>
    </row>
    <row r="3">
      <c r="B3" s="2" t="s">
        <v>1</v>
      </c>
    </row>
    <row r="7">
      <c r="A7" s="3" t="s">
        <v>2</v>
      </c>
      <c r="B7" s="4"/>
      <c r="C7" s="4"/>
      <c r="D7" s="4"/>
      <c r="E7" s="4"/>
      <c r="F7" s="4"/>
      <c r="G7" s="4"/>
      <c r="H7" s="5"/>
    </row>
    <row r="9">
      <c r="A9" s="6" t="s">
        <v>3</v>
      </c>
      <c r="B9" s="6" t="s">
        <v>4</v>
      </c>
      <c r="C9" s="7" t="s">
        <v>5</v>
      </c>
      <c r="D9" s="7" t="s">
        <v>6</v>
      </c>
      <c r="E9" s="7" t="s">
        <v>7</v>
      </c>
      <c r="F9" s="7" t="s">
        <v>8</v>
      </c>
      <c r="G9" s="7" t="s">
        <v>9</v>
      </c>
      <c r="H9" s="7" t="s">
        <v>10</v>
      </c>
    </row>
    <row r="10">
      <c r="A10" s="6" t="s">
        <v>11</v>
      </c>
      <c r="B10" s="6" t="s">
        <v>12</v>
      </c>
      <c r="C10" s="8">
        <v>2370.0</v>
      </c>
      <c r="D10" s="8">
        <v>4696.666666666667</v>
      </c>
      <c r="E10" s="8">
        <v>6630.0</v>
      </c>
      <c r="F10" s="8">
        <v>9625.0</v>
      </c>
      <c r="G10" s="8">
        <v>13900.0</v>
      </c>
      <c r="H10" s="8">
        <v>7139.452380952381</v>
      </c>
    </row>
    <row r="11">
      <c r="A11" s="6" t="s">
        <v>13</v>
      </c>
      <c r="B11" s="6" t="s">
        <v>14</v>
      </c>
      <c r="C11" s="9">
        <v>0.011857707509881422</v>
      </c>
      <c r="D11" s="9">
        <v>0.09773991161848894</v>
      </c>
      <c r="E11" s="9">
        <v>0.15806749366910927</v>
      </c>
      <c r="F11" s="9">
        <v>0.20774359002470433</v>
      </c>
      <c r="G11" s="9">
        <v>0.6</v>
      </c>
      <c r="H11" s="9">
        <v>0.16793741729540415</v>
      </c>
    </row>
    <row r="12">
      <c r="A12" s="6" t="s">
        <v>15</v>
      </c>
      <c r="B12" s="6" t="s">
        <v>16</v>
      </c>
      <c r="C12" s="10">
        <v>1.0632249159598388</v>
      </c>
      <c r="D12" s="10">
        <v>1.2863487427879479</v>
      </c>
      <c r="E12" s="10">
        <v>1.569689562669867</v>
      </c>
      <c r="F12" s="10">
        <v>1.9592156031360224</v>
      </c>
      <c r="G12" s="10">
        <v>2.5738396624472575</v>
      </c>
      <c r="H12" s="10">
        <v>1.6255287053538876</v>
      </c>
    </row>
    <row r="13">
      <c r="A13" s="6" t="s">
        <v>17</v>
      </c>
      <c r="B13" s="6" t="s">
        <v>18</v>
      </c>
      <c r="C13" s="8">
        <v>5232.386666666666</v>
      </c>
      <c r="D13" s="8">
        <v>6868.75</v>
      </c>
      <c r="E13" s="8">
        <v>10389.5</v>
      </c>
      <c r="F13" s="8">
        <v>13568.75</v>
      </c>
      <c r="G13" s="8">
        <v>23233.333333333332</v>
      </c>
      <c r="H13" s="8">
        <v>11038.55777777778</v>
      </c>
    </row>
    <row r="14">
      <c r="A14" s="6" t="s">
        <v>19</v>
      </c>
      <c r="B14" s="6" t="s">
        <v>20</v>
      </c>
      <c r="C14" s="9">
        <v>0.021526418786692758</v>
      </c>
      <c r="D14" s="9">
        <v>0.14779838434406645</v>
      </c>
      <c r="E14" s="9">
        <v>0.23262628255447432</v>
      </c>
      <c r="F14" s="9">
        <v>0.29548495496074934</v>
      </c>
      <c r="G14" s="9">
        <v>0.6</v>
      </c>
      <c r="H14" s="9">
        <v>0.23245496988919698</v>
      </c>
    </row>
    <row r="15">
      <c r="A15" s="6" t="s">
        <v>21</v>
      </c>
      <c r="B15" s="6" t="s">
        <v>22</v>
      </c>
      <c r="C15" s="10">
        <v>1.0301941763114506</v>
      </c>
      <c r="D15" s="10">
        <v>1.8598484848484849</v>
      </c>
      <c r="E15" s="10">
        <v>3.281786319580772</v>
      </c>
      <c r="F15" s="10">
        <v>4.958380891153064</v>
      </c>
      <c r="G15" s="10">
        <v>6.089917668865037</v>
      </c>
      <c r="H15" s="10">
        <v>3.4128010680807144</v>
      </c>
    </row>
    <row r="16">
      <c r="A16" s="6" t="s">
        <v>23</v>
      </c>
      <c r="B16" s="6" t="s">
        <v>24</v>
      </c>
      <c r="C16" s="8">
        <v>119.78609625668449</v>
      </c>
      <c r="D16" s="8">
        <v>238.43883397236462</v>
      </c>
      <c r="E16" s="8">
        <v>341.01800042854484</v>
      </c>
      <c r="F16" s="8">
        <v>429.7217260276512</v>
      </c>
      <c r="G16" s="8">
        <v>679.2</v>
      </c>
      <c r="H16" s="8">
        <v>347.9647802148173</v>
      </c>
    </row>
    <row r="17">
      <c r="A17" s="6" t="s">
        <v>25</v>
      </c>
      <c r="B17" s="6" t="s">
        <v>26</v>
      </c>
      <c r="C17" s="10">
        <v>0.2</v>
      </c>
      <c r="D17" s="10">
        <v>0.3294818740622429</v>
      </c>
      <c r="E17" s="10">
        <v>0.4365404394576905</v>
      </c>
      <c r="F17" s="10">
        <v>0.5378681612777876</v>
      </c>
      <c r="G17" s="10">
        <v>0.755609955120359</v>
      </c>
      <c r="H17" s="10">
        <v>0.44165568177643894</v>
      </c>
    </row>
    <row r="18">
      <c r="A18" s="6" t="s">
        <v>27</v>
      </c>
      <c r="B18" s="6" t="s">
        <v>28</v>
      </c>
      <c r="C18" s="10">
        <v>0.140625</v>
      </c>
      <c r="D18" s="10">
        <v>0.24237765957446805</v>
      </c>
      <c r="E18" s="10">
        <v>0.3000155851925588</v>
      </c>
      <c r="F18" s="10">
        <v>0.3402777777777778</v>
      </c>
      <c r="G18" s="10">
        <v>0.55</v>
      </c>
      <c r="H18" s="10">
        <v>0.298363808166912</v>
      </c>
    </row>
    <row r="19">
      <c r="A19" s="6" t="s">
        <v>29</v>
      </c>
      <c r="B19" s="6" t="s">
        <v>30</v>
      </c>
      <c r="C19" s="10">
        <v>0.05385556915544676</v>
      </c>
      <c r="D19" s="10">
        <v>0.1334449998190117</v>
      </c>
      <c r="E19" s="10">
        <v>0.18072219078161353</v>
      </c>
      <c r="F19" s="10">
        <v>0.25440842016184484</v>
      </c>
      <c r="G19" s="10">
        <v>0.3469387755102041</v>
      </c>
      <c r="H19" s="10">
        <v>0.19344572344326674</v>
      </c>
    </row>
    <row r="20">
      <c r="A20" s="6" t="s">
        <v>31</v>
      </c>
      <c r="B20" s="6" t="s">
        <v>32</v>
      </c>
      <c r="C20" s="10">
        <v>0.0</v>
      </c>
      <c r="D20" s="10">
        <v>0.024325978365146054</v>
      </c>
      <c r="E20" s="10">
        <v>0.04794413502428971</v>
      </c>
      <c r="F20" s="10">
        <v>0.0950986789186824</v>
      </c>
      <c r="G20" s="10">
        <v>0.17659574468085107</v>
      </c>
      <c r="H20" s="10">
        <v>0.06653478661338227</v>
      </c>
    </row>
    <row r="21" ht="15.75" customHeight="1">
      <c r="A21" s="6" t="s">
        <v>33</v>
      </c>
      <c r="B21" s="6" t="s">
        <v>34</v>
      </c>
      <c r="C21" s="8">
        <v>21608.096085409252</v>
      </c>
      <c r="D21" s="8">
        <v>39029.017857142855</v>
      </c>
      <c r="E21" s="8">
        <v>62978.498217468805</v>
      </c>
      <c r="F21" s="8">
        <v>104478.89750215331</v>
      </c>
      <c r="G21" s="8">
        <v>184298.11866859623</v>
      </c>
      <c r="H21" s="8">
        <v>71573.9686930014</v>
      </c>
    </row>
    <row r="22" ht="15.75" customHeight="1">
      <c r="A22" s="6" t="s">
        <v>35</v>
      </c>
      <c r="B22" s="6" t="s">
        <v>36</v>
      </c>
      <c r="C22" s="10">
        <v>2.160809608540925</v>
      </c>
      <c r="D22" s="10">
        <v>3.9029017857142856</v>
      </c>
      <c r="E22" s="10">
        <v>6.297849821746881</v>
      </c>
      <c r="F22" s="10">
        <v>10.447889750215332</v>
      </c>
      <c r="G22" s="10">
        <v>18.429811866859623</v>
      </c>
      <c r="H22" s="10">
        <v>7.15739686930014</v>
      </c>
    </row>
    <row r="23" ht="15.75" customHeight="1">
      <c r="A23" s="6" t="s">
        <v>37</v>
      </c>
      <c r="B23" s="6" t="s">
        <v>38</v>
      </c>
      <c r="C23" s="10">
        <v>1.072088764044944</v>
      </c>
      <c r="D23" s="10">
        <v>2.7677954763744177</v>
      </c>
      <c r="E23" s="10">
        <v>3.906175730340993</v>
      </c>
      <c r="F23" s="10">
        <v>5.1699073195876295</v>
      </c>
      <c r="G23" s="10">
        <v>9.068235294117647</v>
      </c>
      <c r="H23" s="10">
        <v>4.174621497795927</v>
      </c>
    </row>
    <row r="24" ht="15.75" customHeight="1">
      <c r="A24" s="6" t="s">
        <v>39</v>
      </c>
      <c r="B24" s="6" t="s">
        <v>40</v>
      </c>
      <c r="C24" s="10">
        <v>0.09902626293443165</v>
      </c>
      <c r="D24" s="10">
        <v>0.16177915182845487</v>
      </c>
      <c r="E24" s="10">
        <v>0.23404375882319728</v>
      </c>
      <c r="F24" s="10">
        <v>0.3119156749794064</v>
      </c>
      <c r="G24" s="10">
        <v>0.5321662558380903</v>
      </c>
      <c r="H24" s="10">
        <v>0.25290691766528633</v>
      </c>
    </row>
    <row r="25" ht="15.75" customHeight="1">
      <c r="A25" s="6" t="s">
        <v>41</v>
      </c>
      <c r="B25" s="6" t="s">
        <v>42</v>
      </c>
      <c r="C25" s="10">
        <v>0.0</v>
      </c>
      <c r="D25" s="10">
        <v>0.0</v>
      </c>
      <c r="E25" s="10">
        <v>0.05287003282453569</v>
      </c>
      <c r="F25" s="10">
        <v>0.1622727132187778</v>
      </c>
      <c r="G25" s="10">
        <v>0.4708437571071185</v>
      </c>
      <c r="H25" s="10">
        <v>0.10475671709321653</v>
      </c>
    </row>
    <row r="26" ht="15.75" customHeight="1">
      <c r="A26" s="6" t="s">
        <v>43</v>
      </c>
      <c r="B26" s="6" t="s">
        <v>44</v>
      </c>
      <c r="C26" s="10">
        <v>0.037465469613259667</v>
      </c>
      <c r="D26" s="10">
        <v>0.10853284763659067</v>
      </c>
      <c r="E26" s="10">
        <v>0.19063177044555857</v>
      </c>
      <c r="F26" s="10">
        <v>0.23999400893583026</v>
      </c>
      <c r="G26" s="10">
        <v>0.5493598129512185</v>
      </c>
      <c r="H26" s="10">
        <v>0.19556885129490262</v>
      </c>
    </row>
    <row r="27" ht="15.75" customHeight="1">
      <c r="A27" s="6" t="s">
        <v>45</v>
      </c>
      <c r="B27" s="6" t="s">
        <v>46</v>
      </c>
      <c r="C27" s="10">
        <v>0.19259061358981208</v>
      </c>
      <c r="D27" s="10">
        <v>0.344769289593823</v>
      </c>
      <c r="E27" s="10">
        <v>0.4438515236773224</v>
      </c>
      <c r="F27" s="10">
        <v>0.5488129167531696</v>
      </c>
      <c r="G27" s="10">
        <v>0.6972262476800651</v>
      </c>
      <c r="H27" s="10">
        <v>0.4467675139465944</v>
      </c>
    </row>
    <row r="28" ht="15.75" customHeight="1">
      <c r="A28" s="6" t="s">
        <v>47</v>
      </c>
      <c r="B28" s="6" t="s">
        <v>48</v>
      </c>
      <c r="C28" s="10">
        <v>0.6810807150201097</v>
      </c>
      <c r="D28" s="10">
        <v>1.4028274792339188</v>
      </c>
      <c r="E28" s="10">
        <v>1.7087024759982592</v>
      </c>
      <c r="F28" s="10">
        <v>2.2291185475209425</v>
      </c>
      <c r="G28" s="10">
        <v>4.381970722406037</v>
      </c>
      <c r="H28" s="10">
        <v>1.906502257067024</v>
      </c>
    </row>
    <row r="29" ht="15.75" customHeight="1">
      <c r="A29" s="6" t="s">
        <v>49</v>
      </c>
      <c r="B29" s="6" t="s">
        <v>50</v>
      </c>
      <c r="C29" s="10">
        <v>-4.7731011179136855</v>
      </c>
      <c r="D29" s="10">
        <v>0.0</v>
      </c>
      <c r="E29" s="10">
        <v>0.03377429053546191</v>
      </c>
      <c r="F29" s="10">
        <v>0.23939541612716403</v>
      </c>
      <c r="G29" s="10">
        <v>3.9296525893712095</v>
      </c>
      <c r="H29" s="10">
        <v>0.10396068635253947</v>
      </c>
    </row>
    <row r="30" ht="15.75" customHeight="1">
      <c r="A30" s="6" t="s">
        <v>51</v>
      </c>
      <c r="B30" s="6" t="s">
        <v>52</v>
      </c>
      <c r="C30" s="8">
        <v>-3997.5</v>
      </c>
      <c r="D30" s="8">
        <v>13023.272058823528</v>
      </c>
      <c r="E30" s="8">
        <v>17816.4991</v>
      </c>
      <c r="F30" s="8">
        <v>27684.54</v>
      </c>
      <c r="G30" s="8">
        <v>55589.52</v>
      </c>
      <c r="H30" s="8">
        <v>20650.191698030023</v>
      </c>
    </row>
    <row r="31" ht="15.75" customHeight="1">
      <c r="A31" s="6" t="s">
        <v>53</v>
      </c>
      <c r="B31" s="6" t="s">
        <v>54</v>
      </c>
      <c r="C31" s="8">
        <v>-12441.0</v>
      </c>
      <c r="D31" s="8">
        <v>9876.75</v>
      </c>
      <c r="E31" s="8">
        <v>11783.910983870968</v>
      </c>
      <c r="F31" s="8">
        <v>18270.0</v>
      </c>
      <c r="G31" s="8">
        <v>46700.76</v>
      </c>
      <c r="H31" s="8">
        <v>13968.382038035146</v>
      </c>
    </row>
    <row r="32" ht="15.75" customHeight="1">
      <c r="A32" s="6" t="s">
        <v>55</v>
      </c>
      <c r="B32" s="6" t="s">
        <v>56</v>
      </c>
      <c r="C32" s="10">
        <v>-3.5097799511002443</v>
      </c>
      <c r="D32" s="10">
        <v>4.256464465766792</v>
      </c>
      <c r="E32" s="10">
        <v>6.158846153846152</v>
      </c>
      <c r="F32" s="10">
        <v>10.45608888888889</v>
      </c>
      <c r="G32" s="10">
        <v>18.918871256275608</v>
      </c>
      <c r="H32" s="10">
        <v>6.970648934496653</v>
      </c>
    </row>
    <row r="33" ht="15.75" customHeight="1"/>
    <row r="34" ht="15.75" customHeight="1"/>
    <row r="35" ht="15.75" customHeight="1"/>
    <row r="36" ht="15.75" customHeight="1"/>
    <row r="37" ht="15.75" customHeight="1">
      <c r="A37" s="3" t="s">
        <v>57</v>
      </c>
      <c r="B37" s="4"/>
      <c r="C37" s="4"/>
      <c r="D37" s="4"/>
      <c r="E37" s="4"/>
      <c r="F37" s="4"/>
      <c r="G37" s="4"/>
      <c r="H37" s="5"/>
    </row>
    <row r="38" ht="15.75" customHeight="1"/>
    <row r="39" ht="15.75" customHeight="1">
      <c r="B39" s="11" t="s">
        <v>11</v>
      </c>
      <c r="C39" s="11" t="s">
        <v>13</v>
      </c>
      <c r="D39" s="11" t="s">
        <v>15</v>
      </c>
      <c r="E39" s="11" t="s">
        <v>17</v>
      </c>
      <c r="F39" s="11" t="s">
        <v>19</v>
      </c>
      <c r="G39" s="11" t="s">
        <v>21</v>
      </c>
      <c r="H39" s="11" t="s">
        <v>23</v>
      </c>
      <c r="I39" s="11" t="s">
        <v>25</v>
      </c>
      <c r="J39" s="11" t="s">
        <v>27</v>
      </c>
      <c r="K39" s="11" t="s">
        <v>29</v>
      </c>
      <c r="L39" s="11" t="s">
        <v>31</v>
      </c>
      <c r="M39" s="11" t="s">
        <v>33</v>
      </c>
      <c r="N39" s="11" t="s">
        <v>35</v>
      </c>
      <c r="O39" s="11" t="s">
        <v>37</v>
      </c>
      <c r="P39" s="11" t="s">
        <v>39</v>
      </c>
      <c r="Q39" s="11" t="s">
        <v>41</v>
      </c>
      <c r="R39" s="11" t="s">
        <v>43</v>
      </c>
      <c r="S39" s="11" t="s">
        <v>45</v>
      </c>
      <c r="T39" s="11" t="s">
        <v>47</v>
      </c>
      <c r="U39" s="11" t="s">
        <v>49</v>
      </c>
      <c r="V39" s="11" t="s">
        <v>51</v>
      </c>
      <c r="W39" s="11" t="s">
        <v>53</v>
      </c>
      <c r="X39" s="11" t="s">
        <v>55</v>
      </c>
    </row>
    <row r="40" ht="15.75" customHeight="1">
      <c r="A40" s="12" t="s">
        <v>58</v>
      </c>
      <c r="B40" s="12" t="s">
        <v>12</v>
      </c>
      <c r="C40" s="12" t="s">
        <v>14</v>
      </c>
      <c r="D40" s="12" t="s">
        <v>16</v>
      </c>
      <c r="E40" s="12" t="s">
        <v>18</v>
      </c>
      <c r="F40" s="12" t="s">
        <v>20</v>
      </c>
      <c r="G40" s="12" t="s">
        <v>22</v>
      </c>
      <c r="H40" s="12" t="s">
        <v>24</v>
      </c>
      <c r="I40" s="12" t="s">
        <v>26</v>
      </c>
      <c r="J40" s="12" t="s">
        <v>28</v>
      </c>
      <c r="K40" s="12" t="s">
        <v>30</v>
      </c>
      <c r="L40" s="12" t="s">
        <v>32</v>
      </c>
      <c r="M40" s="12" t="s">
        <v>34</v>
      </c>
      <c r="N40" s="12" t="s">
        <v>36</v>
      </c>
      <c r="O40" s="12" t="s">
        <v>38</v>
      </c>
      <c r="P40" s="12" t="s">
        <v>40</v>
      </c>
      <c r="Q40" s="12" t="s">
        <v>42</v>
      </c>
      <c r="R40" s="12" t="s">
        <v>44</v>
      </c>
      <c r="S40" s="12" t="s">
        <v>46</v>
      </c>
      <c r="T40" s="12" t="s">
        <v>48</v>
      </c>
      <c r="U40" s="12" t="s">
        <v>50</v>
      </c>
      <c r="V40" s="12" t="s">
        <v>52</v>
      </c>
      <c r="W40" s="12" t="s">
        <v>54</v>
      </c>
      <c r="X40" s="12" t="s">
        <v>56</v>
      </c>
    </row>
    <row r="41" ht="15.75" customHeight="1">
      <c r="A41" s="13"/>
      <c r="B41" s="13"/>
      <c r="C41" s="13"/>
      <c r="D41" s="13"/>
      <c r="E41" s="13"/>
      <c r="F41" s="13"/>
      <c r="G41" s="13"/>
      <c r="H41" s="13"/>
      <c r="I41" s="13"/>
      <c r="J41" s="13"/>
      <c r="K41" s="13"/>
      <c r="L41" s="13"/>
      <c r="M41" s="13"/>
      <c r="N41" s="13"/>
      <c r="O41" s="13"/>
      <c r="P41" s="13"/>
      <c r="Q41" s="13"/>
      <c r="R41" s="13"/>
      <c r="S41" s="13"/>
      <c r="T41" s="13"/>
      <c r="U41" s="13"/>
      <c r="V41" s="13"/>
      <c r="W41" s="13"/>
      <c r="X41" s="13"/>
    </row>
    <row r="42" ht="15.75" customHeight="1">
      <c r="A42" s="13"/>
      <c r="B42" s="13"/>
      <c r="C42" s="13"/>
      <c r="D42" s="13"/>
      <c r="E42" s="13"/>
      <c r="F42" s="13"/>
      <c r="G42" s="13"/>
      <c r="H42" s="13"/>
      <c r="I42" s="13"/>
      <c r="J42" s="13"/>
      <c r="K42" s="13"/>
      <c r="L42" s="13"/>
      <c r="M42" s="13"/>
      <c r="N42" s="13"/>
      <c r="O42" s="13"/>
      <c r="P42" s="13"/>
      <c r="Q42" s="13"/>
      <c r="R42" s="13"/>
      <c r="S42" s="13"/>
      <c r="T42" s="13"/>
      <c r="U42" s="13"/>
      <c r="V42" s="13"/>
      <c r="W42" s="13"/>
      <c r="X42" s="13"/>
    </row>
    <row r="43" ht="15.7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row>
    <row r="44" ht="15.7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row>
    <row r="45" ht="15.7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row>
    <row r="46" ht="15.7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row>
    <row r="47" ht="15.7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row>
    <row r="48" ht="15.75" customHeight="1">
      <c r="A48" s="13"/>
      <c r="B48" s="13"/>
      <c r="C48" s="13"/>
      <c r="D48" s="13"/>
      <c r="E48" s="13"/>
      <c r="F48" s="13"/>
      <c r="G48" s="13"/>
      <c r="H48" s="13"/>
      <c r="I48" s="13"/>
      <c r="J48" s="13"/>
      <c r="K48" s="13"/>
      <c r="L48" s="13"/>
      <c r="M48" s="13"/>
      <c r="N48" s="13"/>
      <c r="O48" s="13"/>
      <c r="P48" s="13"/>
      <c r="Q48" s="13"/>
      <c r="R48" s="13"/>
      <c r="S48" s="13"/>
      <c r="T48" s="13"/>
      <c r="U48" s="13"/>
      <c r="V48" s="13"/>
      <c r="W48" s="13"/>
      <c r="X48" s="13"/>
    </row>
    <row r="49" ht="15.7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row>
    <row r="50" ht="15.7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row>
    <row r="51" ht="15.7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row>
    <row r="52" ht="15.7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row>
    <row r="53" ht="15.7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row>
    <row r="54" ht="15.7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row>
    <row r="55" ht="15.7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row>
    <row r="56" ht="15.7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row>
    <row r="57" ht="15.7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row>
    <row r="58" ht="15.75" customHeight="1">
      <c r="A58" s="13"/>
      <c r="B58" s="13"/>
      <c r="C58" s="13"/>
      <c r="D58" s="13"/>
      <c r="E58" s="13"/>
      <c r="F58" s="13"/>
      <c r="G58" s="13"/>
      <c r="H58" s="13"/>
      <c r="I58" s="13"/>
      <c r="J58" s="13"/>
      <c r="K58" s="13"/>
      <c r="L58" s="13"/>
      <c r="M58" s="13"/>
      <c r="N58" s="13"/>
      <c r="O58" s="13"/>
      <c r="P58" s="13"/>
      <c r="Q58" s="13"/>
      <c r="R58" s="13"/>
      <c r="S58" s="13"/>
      <c r="T58" s="13"/>
      <c r="U58" s="13"/>
      <c r="V58" s="13"/>
      <c r="W58" s="13"/>
      <c r="X58" s="13"/>
    </row>
    <row r="59" ht="15.7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row>
    <row r="60" ht="15.7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row>
    <row r="61" ht="15.7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row>
    <row r="62" ht="15.7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row>
    <row r="63" ht="15.7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row>
    <row r="64" ht="15.7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row>
    <row r="65" ht="15.7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row>
    <row r="66" ht="15.7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row>
    <row r="67" ht="15.7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row>
    <row r="68" ht="15.7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row>
    <row r="69" ht="15.7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row>
    <row r="70" ht="15.7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row>
    <row r="71" ht="15.7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row>
    <row r="72" ht="15.7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row>
    <row r="73" ht="15.7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row>
    <row r="74" ht="15.7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row>
    <row r="75" ht="15.7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row>
    <row r="76" ht="15.7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row>
    <row r="77" ht="15.7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row>
    <row r="78" ht="15.7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row>
    <row r="79" ht="15.7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row>
    <row r="80" ht="15.7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row>
    <row r="81" ht="15.7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row>
    <row r="82" ht="15.7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row>
    <row r="83" ht="15.7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row>
    <row r="84" ht="15.7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row>
    <row r="85" ht="15.7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row>
    <row r="86" ht="15.7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row>
    <row r="87" ht="15.7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row>
    <row r="88" ht="15.7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row>
    <row r="89" ht="15.7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row>
    <row r="90" ht="15.7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row>
    <row r="91" ht="15.7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row>
    <row r="92" ht="15.7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row>
    <row r="93" ht="15.7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row>
    <row r="94" ht="15.7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row>
    <row r="95" ht="15.7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row>
    <row r="96" ht="15.7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row>
    <row r="97" ht="15.7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row>
    <row r="98" ht="15.7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row>
    <row r="99" ht="15.7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row>
    <row r="100" ht="15.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row>
    <row r="101" ht="15.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row>
    <row r="102" ht="15.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row>
    <row r="103" ht="15.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row>
    <row r="104" ht="15.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row>
    <row r="105" ht="15.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row>
    <row r="106" ht="15.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row>
    <row r="107" ht="15.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row>
    <row r="108" ht="15.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row>
    <row r="109" ht="15.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row>
    <row r="110" ht="15.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row>
    <row r="111" ht="15.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row>
    <row r="112" ht="15.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row>
    <row r="113" ht="15.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row>
    <row r="114" ht="15.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row>
    <row r="115" ht="15.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row>
    <row r="116" ht="15.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row>
    <row r="117" ht="15.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row>
    <row r="118" ht="15.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row>
    <row r="119" ht="15.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row>
    <row r="120" ht="15.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row>
    <row r="121" ht="15.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row>
    <row r="122" ht="15.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row>
    <row r="123" ht="15.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row>
    <row r="124" ht="15.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row>
    <row r="125" ht="15.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row>
    <row r="126" ht="15.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row>
    <row r="127" ht="15.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row>
    <row r="128" ht="15.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row>
    <row r="129" ht="15.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row>
    <row r="130" ht="15.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row>
    <row r="131" ht="15.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row>
    <row r="132" ht="15.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row>
    <row r="133" ht="15.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row>
    <row r="134" ht="15.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row>
    <row r="135" ht="15.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row>
    <row r="136" ht="15.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row>
    <row r="137" ht="15.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row>
    <row r="138" ht="15.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row>
    <row r="139" ht="15.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row>
    <row r="140" ht="15.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row>
    <row r="141" ht="15.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row>
    <row r="142" ht="15.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row>
    <row r="143" ht="15.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row>
    <row r="144" ht="15.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row>
    <row r="145" ht="15.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row>
    <row r="146" ht="15.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row>
    <row r="147" ht="15.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row>
    <row r="148" ht="15.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row>
    <row r="149" ht="15.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row>
    <row r="150" ht="15.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row>
    <row r="151" ht="15.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row>
    <row r="152" ht="15.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row>
    <row r="153" ht="15.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row>
    <row r="154" ht="15.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row>
    <row r="155" ht="15.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row>
    <row r="156" ht="15.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row>
    <row r="157" ht="15.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row>
    <row r="158" ht="15.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row>
    <row r="159" ht="15.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row>
    <row r="160" ht="15.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row>
    <row r="161" ht="15.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row>
    <row r="162" ht="15.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row>
    <row r="163" ht="15.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row>
    <row r="164" ht="15.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row>
    <row r="165" ht="15.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row>
    <row r="166" ht="15.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row>
    <row r="167" ht="15.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row>
    <row r="168" ht="15.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row>
    <row r="169" ht="15.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row>
    <row r="170" ht="15.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row>
    <row r="171" ht="15.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row>
    <row r="172" ht="15.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row>
    <row r="173" ht="15.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row>
    <row r="174" ht="15.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row>
    <row r="175" ht="15.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row>
    <row r="176" ht="15.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row>
    <row r="177" ht="15.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row>
    <row r="178" ht="15.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row>
    <row r="179" ht="15.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row>
    <row r="180" ht="15.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row>
    <row r="181" ht="15.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row>
    <row r="182" ht="15.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row>
    <row r="183" ht="15.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row>
    <row r="184" ht="15.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row>
    <row r="185" ht="15.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row>
    <row r="186" ht="15.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row>
    <row r="187" ht="15.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row>
    <row r="188" ht="15.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row>
    <row r="189" ht="15.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row>
    <row r="190" ht="15.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row>
    <row r="191" ht="15.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row>
    <row r="192" ht="15.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row>
    <row r="193" ht="15.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row>
    <row r="194" ht="15.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row>
    <row r="195" ht="15.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row>
    <row r="196" ht="15.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row>
    <row r="197" ht="15.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row>
    <row r="198" ht="15.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row>
    <row r="199" ht="15.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row>
    <row r="200" ht="15.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row>
    <row r="201" ht="15.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row>
    <row r="202" ht="15.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row>
    <row r="203" ht="15.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row>
    <row r="204" ht="15.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row>
    <row r="205" ht="15.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row>
    <row r="206" ht="15.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row>
    <row r="207" ht="15.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row>
    <row r="208" ht="15.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row>
    <row r="209" ht="15.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row>
    <row r="210" ht="15.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row>
    <row r="211" ht="15.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row>
    <row r="212" ht="15.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row>
    <row r="213" ht="15.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row>
    <row r="214" ht="15.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row>
    <row r="215" ht="15.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row>
    <row r="216" ht="15.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row>
    <row r="217" ht="15.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row>
    <row r="218" ht="15.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row>
    <row r="219" ht="15.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row>
    <row r="220" ht="15.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row>
    <row r="221" ht="15.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row>
    <row r="222" ht="15.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row>
    <row r="223" ht="15.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row>
    <row r="224" ht="15.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row>
    <row r="225" ht="15.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row>
    <row r="226" ht="15.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row>
    <row r="227" ht="15.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row>
    <row r="228" ht="15.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row>
    <row r="229" ht="15.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row>
    <row r="230" ht="15.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row>
    <row r="231" ht="15.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row>
    <row r="232" ht="15.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row>
    <row r="233" ht="15.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row>
    <row r="234" ht="15.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row>
    <row r="235" ht="15.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row>
    <row r="236" ht="15.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row>
    <row r="237" ht="15.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row>
    <row r="238" ht="15.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row>
    <row r="239" ht="15.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row>
    <row r="240" ht="15.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row>
    <row r="241" ht="15.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row>
    <row r="242" ht="15.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row>
    <row r="243" ht="15.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row>
    <row r="244" ht="15.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row>
    <row r="245" ht="15.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row>
    <row r="246" ht="15.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row>
    <row r="247" ht="15.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row>
    <row r="248" ht="15.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row>
    <row r="249" ht="15.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row>
    <row r="250" ht="15.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row>
    <row r="251" ht="15.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row>
    <row r="252" ht="15.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row>
    <row r="253" ht="15.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row>
    <row r="254" ht="15.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row>
    <row r="255" ht="15.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row>
    <row r="256" ht="15.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row>
    <row r="257" ht="15.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row>
    <row r="258" ht="15.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row>
    <row r="259" ht="15.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row>
    <row r="260" ht="15.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row>
    <row r="261" ht="15.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row>
    <row r="262" ht="15.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row>
    <row r="263" ht="15.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row>
    <row r="264" ht="15.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row>
    <row r="265" ht="15.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row>
    <row r="266" ht="15.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row>
    <row r="267" ht="15.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row>
    <row r="268" ht="15.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row>
    <row r="269" ht="15.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row>
    <row r="270" ht="15.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row>
    <row r="271" ht="15.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row>
    <row r="272" ht="15.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row>
    <row r="273" ht="15.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row>
    <row r="274" ht="15.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row>
    <row r="275" ht="15.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row>
    <row r="276" ht="15.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row>
    <row r="277" ht="15.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row>
    <row r="278" ht="15.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row>
    <row r="279" ht="15.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row>
    <row r="280" ht="15.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row>
    <row r="281" ht="15.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row>
    <row r="282" ht="15.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row>
    <row r="283" ht="15.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row>
    <row r="284" ht="15.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row>
    <row r="285" ht="15.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row>
    <row r="286" ht="15.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row>
    <row r="287" ht="15.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row>
    <row r="288" ht="15.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row>
    <row r="289" ht="15.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row>
    <row r="290" ht="15.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row>
    <row r="291" ht="15.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row>
    <row r="292" ht="15.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row>
    <row r="293" ht="15.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row>
    <row r="294" ht="15.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row>
    <row r="295" ht="15.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row>
    <row r="296" ht="15.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row>
    <row r="297" ht="15.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row>
    <row r="298" ht="15.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row>
    <row r="299" ht="15.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row>
    <row r="300" ht="15.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row>
    <row r="301" ht="15.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row>
    <row r="302" ht="15.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row>
    <row r="303" ht="15.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row>
    <row r="304" ht="15.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row>
    <row r="305" ht="15.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row>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7:H7"/>
    <mergeCell ref="A37:H37"/>
  </mergeCells>
  <printOptions/>
  <pageMargins bottom="0.75" footer="0.0" header="0.0" left="0.7" right="0.7" top="0.75"/>
  <pageSetup paperSize="9" orientation="portrait"/>
  <drawing r:id="rId1"/>
  <tableParts count="1">
    <tablePart r:id="rId3"/>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3">
      <c r="A3" s="14" t="s">
        <v>59</v>
      </c>
    </row>
    <row r="4">
      <c r="A4" s="15" t="s">
        <v>60</v>
      </c>
    </row>
    <row r="5" ht="93.0" customHeight="1">
      <c r="A5" s="14" t="s">
        <v>61</v>
      </c>
    </row>
    <row r="6">
      <c r="A6" s="14"/>
      <c r="B6" s="14"/>
      <c r="C6" s="14"/>
      <c r="D6" s="14"/>
      <c r="E6" s="14"/>
      <c r="F6" s="14"/>
      <c r="G6" s="14"/>
      <c r="H6" s="14"/>
    </row>
    <row r="7">
      <c r="A7" s="3" t="s">
        <v>62</v>
      </c>
      <c r="B7" s="4"/>
      <c r="C7" s="4"/>
      <c r="D7" s="4"/>
      <c r="E7" s="4"/>
      <c r="F7" s="4"/>
      <c r="G7" s="4"/>
      <c r="H7" s="4"/>
      <c r="I7" s="4"/>
      <c r="J7" s="4"/>
      <c r="K7" s="4"/>
      <c r="L7" s="5"/>
    </row>
    <row r="9">
      <c r="A9" s="11" t="s">
        <v>63</v>
      </c>
    </row>
    <row r="10">
      <c r="A10" s="11" t="s">
        <v>64</v>
      </c>
    </row>
    <row r="11">
      <c r="A11" s="16" t="s">
        <v>65</v>
      </c>
    </row>
    <row r="12">
      <c r="A12" s="16" t="s">
        <v>66</v>
      </c>
    </row>
    <row r="14">
      <c r="A14" s="3" t="s">
        <v>67</v>
      </c>
      <c r="B14" s="4"/>
      <c r="C14" s="4"/>
      <c r="D14" s="4"/>
      <c r="E14" s="4"/>
      <c r="F14" s="4"/>
      <c r="G14" s="4"/>
      <c r="H14" s="4"/>
      <c r="I14" s="4"/>
      <c r="J14" s="4"/>
      <c r="K14" s="4"/>
      <c r="L14" s="5"/>
    </row>
    <row r="15">
      <c r="A15" s="11" t="s">
        <v>68</v>
      </c>
    </row>
    <row r="16">
      <c r="E16" s="17" t="s">
        <v>69</v>
      </c>
      <c r="F16" s="18"/>
    </row>
    <row r="17">
      <c r="E17" s="17" t="s">
        <v>70</v>
      </c>
      <c r="F17" s="19"/>
    </row>
    <row r="18">
      <c r="F18" s="20"/>
    </row>
    <row r="19">
      <c r="A19" s="20" t="s">
        <v>71</v>
      </c>
      <c r="B19" s="20"/>
      <c r="C19" s="20"/>
      <c r="D19" s="20"/>
      <c r="E19" s="20"/>
      <c r="F19" s="20"/>
      <c r="G19" s="20"/>
      <c r="H19" s="20"/>
      <c r="I19" s="11" t="s">
        <v>72</v>
      </c>
    </row>
    <row r="20">
      <c r="F20" s="20"/>
      <c r="I20" s="11" t="s">
        <v>73</v>
      </c>
    </row>
    <row r="22" ht="15.75" customHeight="1">
      <c r="A22" s="21" t="s">
        <v>74</v>
      </c>
      <c r="B22" s="4"/>
      <c r="C22" s="4"/>
      <c r="D22" s="4"/>
      <c r="E22" s="4"/>
      <c r="F22" s="4"/>
      <c r="G22" s="4"/>
      <c r="H22" s="5"/>
      <c r="I22" s="22"/>
      <c r="J22" s="22"/>
      <c r="K22" s="22"/>
      <c r="L22" s="22"/>
      <c r="M22" s="22"/>
      <c r="N22" s="22"/>
      <c r="O22" s="22"/>
      <c r="P22" s="22"/>
      <c r="Q22" s="22"/>
    </row>
    <row r="23" ht="15.75" customHeight="1">
      <c r="A23" s="11" t="s">
        <v>75</v>
      </c>
    </row>
    <row r="24" ht="15.75" customHeight="1">
      <c r="A24" s="11" t="s">
        <v>76</v>
      </c>
    </row>
    <row r="25" ht="15.75" customHeight="1">
      <c r="A25" s="23" t="s">
        <v>77</v>
      </c>
    </row>
    <row r="26" ht="15.75" customHeight="1"/>
    <row r="27" ht="15.75" customHeight="1">
      <c r="B27" s="24" t="s">
        <v>78</v>
      </c>
      <c r="C27" s="25"/>
      <c r="D27" s="25"/>
      <c r="E27" s="25"/>
      <c r="F27" s="25"/>
      <c r="G27" s="26"/>
    </row>
    <row r="28" ht="15.75" customHeight="1">
      <c r="B28" s="27" t="s">
        <v>79</v>
      </c>
      <c r="C28" s="28" t="s">
        <v>80</v>
      </c>
      <c r="D28" s="28" t="s">
        <v>81</v>
      </c>
      <c r="E28" s="28" t="s">
        <v>82</v>
      </c>
      <c r="F28" s="28" t="s">
        <v>83</v>
      </c>
      <c r="G28" s="29" t="s">
        <v>84</v>
      </c>
    </row>
    <row r="29" ht="15.75" customHeight="1">
      <c r="B29" s="30"/>
      <c r="C29" s="31"/>
      <c r="D29" s="31"/>
      <c r="E29" s="31"/>
      <c r="F29" s="31"/>
      <c r="G29" s="32"/>
    </row>
    <row r="30" ht="15.75" customHeight="1">
      <c r="B30" s="33"/>
      <c r="C30" s="34"/>
      <c r="D30" s="34"/>
      <c r="E30" s="34"/>
      <c r="F30" s="34"/>
      <c r="G30" s="35"/>
    </row>
    <row r="31" ht="15.75" customHeight="1">
      <c r="B31" s="36"/>
      <c r="G31" s="37"/>
    </row>
    <row r="32" ht="15.75" customHeight="1">
      <c r="B32" s="27" t="s">
        <v>85</v>
      </c>
      <c r="C32" s="28" t="s">
        <v>86</v>
      </c>
      <c r="D32" s="28" t="s">
        <v>87</v>
      </c>
      <c r="G32" s="37"/>
    </row>
    <row r="33" ht="15.75" customHeight="1">
      <c r="B33" s="30"/>
      <c r="C33" s="31"/>
      <c r="D33" s="31"/>
      <c r="G33" s="37"/>
    </row>
    <row r="34" ht="15.75" customHeight="1">
      <c r="B34" s="38"/>
      <c r="C34" s="39"/>
      <c r="D34" s="39"/>
      <c r="E34" s="40"/>
      <c r="F34" s="40"/>
      <c r="G34" s="41"/>
    </row>
    <row r="35" ht="15.75" customHeight="1"/>
    <row r="36" ht="15.75" customHeight="1">
      <c r="A36" s="42" t="s">
        <v>88</v>
      </c>
      <c r="B36" s="4"/>
      <c r="C36" s="4"/>
      <c r="D36" s="4"/>
      <c r="E36" s="4"/>
      <c r="F36" s="4"/>
      <c r="G36" s="4"/>
      <c r="H36" s="5"/>
      <c r="I36" s="22"/>
      <c r="J36" s="22"/>
      <c r="K36" s="22"/>
      <c r="L36" s="22"/>
      <c r="M36" s="22"/>
      <c r="N36" s="22"/>
      <c r="O36" s="22"/>
      <c r="P36" s="22"/>
      <c r="Q36" s="22"/>
    </row>
    <row r="37" ht="15.0" customHeight="1">
      <c r="A37" s="43" t="s">
        <v>89</v>
      </c>
      <c r="B37" s="44"/>
      <c r="C37" s="44"/>
      <c r="D37" s="44"/>
      <c r="E37" s="44"/>
      <c r="F37" s="44"/>
      <c r="G37" s="44"/>
      <c r="H37" s="44"/>
      <c r="I37" s="22"/>
      <c r="J37" s="22"/>
      <c r="K37" s="22"/>
      <c r="L37" s="22"/>
      <c r="M37" s="22"/>
      <c r="N37" s="22"/>
      <c r="O37" s="22"/>
      <c r="P37" s="22"/>
      <c r="Q37" s="22"/>
    </row>
    <row r="38" ht="15.0" customHeight="1">
      <c r="A38" s="44"/>
      <c r="B38" s="44"/>
      <c r="C38" s="44"/>
      <c r="D38" s="44"/>
      <c r="E38" s="44"/>
      <c r="F38" s="44"/>
      <c r="G38" s="44"/>
      <c r="H38" s="44"/>
      <c r="I38" s="22"/>
      <c r="J38" s="22"/>
      <c r="K38" s="22"/>
      <c r="L38" s="22"/>
      <c r="M38" s="22"/>
      <c r="N38" s="22"/>
      <c r="O38" s="22"/>
      <c r="P38" s="22"/>
      <c r="Q38" s="22"/>
    </row>
    <row r="39" ht="15.75" customHeight="1">
      <c r="A39" s="11" t="s">
        <v>90</v>
      </c>
    </row>
    <row r="40" ht="15.75" customHeight="1"/>
    <row r="41" ht="15.75" customHeight="1">
      <c r="A41" s="11" t="s">
        <v>91</v>
      </c>
    </row>
    <row r="42" ht="15.75" customHeight="1">
      <c r="A42" s="11" t="s">
        <v>92</v>
      </c>
    </row>
    <row r="43" ht="15.75" customHeight="1">
      <c r="B43" s="1" t="s">
        <v>93</v>
      </c>
    </row>
    <row r="44" ht="15.75" customHeight="1">
      <c r="A44" s="11" t="s">
        <v>94</v>
      </c>
    </row>
    <row r="45" ht="15.75" customHeight="1">
      <c r="A45" s="11" t="s">
        <v>95</v>
      </c>
    </row>
    <row r="46" ht="15.75" customHeight="1">
      <c r="B46" s="24" t="s">
        <v>78</v>
      </c>
      <c r="C46" s="25"/>
      <c r="D46" s="25"/>
      <c r="E46" s="25"/>
      <c r="F46" s="25"/>
      <c r="G46" s="25"/>
      <c r="H46" s="25"/>
      <c r="I46" s="25"/>
      <c r="J46" s="25"/>
      <c r="K46" s="25"/>
      <c r="L46" s="25"/>
      <c r="M46" s="25"/>
      <c r="N46" s="25"/>
      <c r="O46" s="26"/>
    </row>
    <row r="47" ht="15.75" customHeight="1">
      <c r="B47" s="36"/>
      <c r="C47" s="45" t="s">
        <v>96</v>
      </c>
      <c r="D47" s="46"/>
      <c r="E47" s="46"/>
      <c r="F47" s="46"/>
      <c r="G47" s="46"/>
      <c r="H47" s="46"/>
      <c r="I47" s="46"/>
      <c r="J47" s="46"/>
      <c r="K47" s="46"/>
      <c r="L47" s="46"/>
      <c r="M47" s="46"/>
      <c r="N47" s="47"/>
      <c r="O47" s="37"/>
    </row>
    <row r="48" ht="15.75" customHeight="1">
      <c r="B48" s="36"/>
      <c r="C48" s="6" t="s">
        <v>97</v>
      </c>
      <c r="D48" s="6" t="s">
        <v>98</v>
      </c>
      <c r="E48" s="6" t="s">
        <v>99</v>
      </c>
      <c r="F48" s="6" t="s">
        <v>100</v>
      </c>
      <c r="G48" s="6" t="s">
        <v>101</v>
      </c>
      <c r="H48" s="6" t="s">
        <v>102</v>
      </c>
      <c r="I48" s="6" t="s">
        <v>103</v>
      </c>
      <c r="J48" s="6" t="s">
        <v>104</v>
      </c>
      <c r="K48" s="6" t="s">
        <v>105</v>
      </c>
      <c r="L48" s="6" t="s">
        <v>106</v>
      </c>
      <c r="M48" s="6" t="s">
        <v>107</v>
      </c>
      <c r="N48" s="6" t="s">
        <v>108</v>
      </c>
      <c r="O48" s="48" t="s">
        <v>109</v>
      </c>
    </row>
    <row r="49" ht="15.75" customHeight="1">
      <c r="B49" s="49" t="s">
        <v>110</v>
      </c>
      <c r="C49" s="50">
        <v>1.0</v>
      </c>
      <c r="D49" s="50">
        <v>3.0</v>
      </c>
      <c r="E49" s="50"/>
      <c r="F49" s="50"/>
      <c r="G49" s="50"/>
      <c r="H49" s="50"/>
      <c r="I49" s="50"/>
      <c r="J49" s="50"/>
      <c r="K49" s="50"/>
      <c r="L49" s="50"/>
      <c r="M49" s="50">
        <v>2.0</v>
      </c>
      <c r="N49" s="50">
        <v>2.0</v>
      </c>
      <c r="O49" s="51">
        <f t="shared" ref="O49:O51" si="1">SUM(C49:N49)*(52-$E$54)/(48-$E$54)</f>
        <v>8.744186047</v>
      </c>
    </row>
    <row r="50" ht="15.75" customHeight="1">
      <c r="B50" s="49" t="s">
        <v>111</v>
      </c>
      <c r="C50" s="50"/>
      <c r="D50" s="50">
        <v>1.0</v>
      </c>
      <c r="E50" s="50">
        <v>4.0</v>
      </c>
      <c r="F50" s="50">
        <v>4.0</v>
      </c>
      <c r="G50" s="50"/>
      <c r="H50" s="50"/>
      <c r="I50" s="50"/>
      <c r="J50" s="50"/>
      <c r="K50" s="50">
        <v>2.0</v>
      </c>
      <c r="L50" s="50">
        <v>4.0</v>
      </c>
      <c r="M50" s="50">
        <v>2.0</v>
      </c>
      <c r="N50" s="50"/>
      <c r="O50" s="51">
        <f t="shared" si="1"/>
        <v>18.58139535</v>
      </c>
    </row>
    <row r="51" ht="15.75" customHeight="1">
      <c r="B51" s="49" t="s">
        <v>112</v>
      </c>
      <c r="C51" s="50"/>
      <c r="D51" s="50"/>
      <c r="E51" s="50"/>
      <c r="F51" s="50"/>
      <c r="G51" s="50">
        <v>4.0</v>
      </c>
      <c r="H51" s="50">
        <v>4.0</v>
      </c>
      <c r="I51" s="50">
        <v>4.0</v>
      </c>
      <c r="J51" s="50">
        <v>4.0</v>
      </c>
      <c r="K51" s="50">
        <v>2.0</v>
      </c>
      <c r="L51" s="50"/>
      <c r="M51" s="50"/>
      <c r="N51" s="50"/>
      <c r="O51" s="51">
        <f t="shared" si="1"/>
        <v>19.6744186</v>
      </c>
    </row>
    <row r="52" ht="15.75" customHeight="1">
      <c r="B52" s="49" t="s">
        <v>113</v>
      </c>
      <c r="C52" s="50">
        <v>3.0</v>
      </c>
      <c r="D52" s="50"/>
      <c r="E52" s="50"/>
      <c r="F52" s="50"/>
      <c r="G52" s="50"/>
      <c r="H52" s="50"/>
      <c r="I52" s="50"/>
      <c r="J52" s="50"/>
      <c r="K52" s="50"/>
      <c r="L52" s="50"/>
      <c r="M52" s="50"/>
      <c r="N52" s="50">
        <v>2.0</v>
      </c>
      <c r="O52" s="51">
        <f>SUM(C52:N52)</f>
        <v>5</v>
      </c>
    </row>
    <row r="53" ht="15.75" customHeight="1">
      <c r="B53" s="36"/>
      <c r="N53" s="52" t="s">
        <v>114</v>
      </c>
      <c r="O53" s="51">
        <f>SUM(O49:O51)</f>
        <v>47</v>
      </c>
    </row>
    <row r="54" ht="15.75" customHeight="1">
      <c r="B54" s="53"/>
      <c r="C54" s="40"/>
      <c r="D54" s="54" t="s">
        <v>115</v>
      </c>
      <c r="E54" s="55">
        <f>SUM(C52:N52)</f>
        <v>5</v>
      </c>
      <c r="F54" s="40"/>
      <c r="G54" s="40"/>
      <c r="H54" s="40"/>
      <c r="I54" s="40"/>
      <c r="J54" s="40"/>
      <c r="K54" s="40"/>
      <c r="L54" s="40"/>
      <c r="M54" s="40"/>
      <c r="N54" s="40"/>
      <c r="O54" s="41"/>
    </row>
    <row r="55" ht="15.75" customHeight="1"/>
    <row r="56" ht="15.75" customHeight="1">
      <c r="B56" s="1" t="s">
        <v>116</v>
      </c>
    </row>
    <row r="57" ht="15.75" customHeight="1">
      <c r="A57" s="11" t="s">
        <v>117</v>
      </c>
    </row>
    <row r="58" ht="15.75" customHeight="1">
      <c r="A58" s="11" t="s">
        <v>118</v>
      </c>
    </row>
    <row r="59" ht="15.75" customHeight="1">
      <c r="A59" s="11" t="s">
        <v>119</v>
      </c>
    </row>
    <row r="60" ht="15.75" customHeight="1"/>
    <row r="61" ht="15.75" customHeight="1"/>
    <row r="62" ht="15.75" customHeight="1">
      <c r="A62" s="42" t="s">
        <v>120</v>
      </c>
      <c r="B62" s="4"/>
      <c r="C62" s="4"/>
      <c r="D62" s="4"/>
      <c r="E62" s="4"/>
      <c r="F62" s="4"/>
      <c r="G62" s="4"/>
      <c r="H62" s="5"/>
      <c r="I62" s="22"/>
      <c r="J62" s="22"/>
      <c r="K62" s="22"/>
      <c r="L62" s="22"/>
      <c r="M62" s="22"/>
      <c r="N62" s="22"/>
      <c r="O62" s="22"/>
      <c r="P62" s="22"/>
      <c r="Q62" s="22"/>
    </row>
    <row r="63" ht="15.75" customHeight="1">
      <c r="A63" s="11" t="s">
        <v>121</v>
      </c>
    </row>
    <row r="64" ht="15.75" customHeight="1"/>
    <row r="65" ht="15.75" customHeight="1">
      <c r="A65" s="11" t="s">
        <v>122</v>
      </c>
    </row>
    <row r="66" ht="15.75" customHeight="1">
      <c r="A66" s="11" t="s">
        <v>123</v>
      </c>
    </row>
    <row r="67" ht="15.75" customHeight="1">
      <c r="B67" s="56" t="s">
        <v>78</v>
      </c>
      <c r="C67" s="25"/>
      <c r="D67" s="25"/>
      <c r="E67" s="25"/>
      <c r="F67" s="25"/>
      <c r="G67" s="25"/>
      <c r="H67" s="25"/>
      <c r="I67" s="26"/>
    </row>
    <row r="68" ht="15.75" customHeight="1">
      <c r="B68" s="36"/>
      <c r="D68" s="6" t="s">
        <v>124</v>
      </c>
      <c r="E68" s="6" t="s">
        <v>125</v>
      </c>
      <c r="F68" s="6" t="s">
        <v>126</v>
      </c>
      <c r="G68" s="6" t="s">
        <v>127</v>
      </c>
      <c r="H68" s="6" t="s">
        <v>128</v>
      </c>
      <c r="I68" s="48" t="s">
        <v>109</v>
      </c>
    </row>
    <row r="69" ht="15.75" customHeight="1">
      <c r="B69" s="57" t="s">
        <v>129</v>
      </c>
      <c r="C69" s="6" t="s">
        <v>130</v>
      </c>
      <c r="D69" s="58">
        <v>0.15</v>
      </c>
      <c r="E69" s="58">
        <v>0.1</v>
      </c>
      <c r="F69" s="58"/>
      <c r="G69" s="58"/>
      <c r="H69" s="58"/>
      <c r="I69" s="59">
        <f t="shared" ref="I69:I72" si="2">SUM(D69:H69)</f>
        <v>0.25</v>
      </c>
    </row>
    <row r="70" ht="15.75" customHeight="1">
      <c r="B70" s="30"/>
      <c r="C70" s="6" t="s">
        <v>131</v>
      </c>
      <c r="D70" s="58">
        <v>0.2</v>
      </c>
      <c r="E70" s="58">
        <v>0.2</v>
      </c>
      <c r="F70" s="58"/>
      <c r="G70" s="58"/>
      <c r="H70" s="58"/>
      <c r="I70" s="59">
        <f t="shared" si="2"/>
        <v>0.4</v>
      </c>
    </row>
    <row r="71" ht="15.75" customHeight="1">
      <c r="B71" s="30"/>
      <c r="C71" s="6" t="s">
        <v>132</v>
      </c>
      <c r="D71" s="58">
        <v>0.15</v>
      </c>
      <c r="E71" s="58">
        <v>0.15</v>
      </c>
      <c r="F71" s="58"/>
      <c r="G71" s="58"/>
      <c r="H71" s="58"/>
      <c r="I71" s="59">
        <f t="shared" si="2"/>
        <v>0.3</v>
      </c>
    </row>
    <row r="72" ht="15.75" customHeight="1">
      <c r="B72" s="33"/>
      <c r="C72" s="6" t="s">
        <v>133</v>
      </c>
      <c r="D72" s="58">
        <v>0.05</v>
      </c>
      <c r="E72" s="58"/>
      <c r="F72" s="58"/>
      <c r="G72" s="58"/>
      <c r="H72" s="58"/>
      <c r="I72" s="59">
        <f t="shared" si="2"/>
        <v>0.05</v>
      </c>
    </row>
    <row r="73" ht="15.75" customHeight="1">
      <c r="B73" s="53"/>
      <c r="C73" s="40"/>
      <c r="D73" s="40"/>
      <c r="E73" s="40"/>
      <c r="F73" s="40"/>
      <c r="G73" s="40"/>
      <c r="H73" s="40"/>
      <c r="I73" s="60">
        <f>SUM(I69:I72)</f>
        <v>1</v>
      </c>
    </row>
    <row r="74" ht="15.75" customHeight="1"/>
    <row r="75" ht="15.75" customHeight="1"/>
    <row r="76" ht="15.75" customHeight="1">
      <c r="A76" s="61" t="s">
        <v>134</v>
      </c>
      <c r="B76" s="4"/>
      <c r="C76" s="4"/>
      <c r="D76" s="4"/>
      <c r="E76" s="4"/>
      <c r="F76" s="4"/>
      <c r="G76" s="4"/>
      <c r="H76" s="5"/>
      <c r="I76" s="22"/>
      <c r="J76" s="22"/>
      <c r="K76" s="22"/>
      <c r="L76" s="22"/>
      <c r="M76" s="22"/>
      <c r="N76" s="22"/>
      <c r="O76" s="22"/>
      <c r="P76" s="22"/>
      <c r="Q76" s="22"/>
    </row>
    <row r="77" ht="15.75" customHeight="1"/>
    <row r="78" ht="15.75" customHeight="1">
      <c r="A78" s="23" t="s">
        <v>135</v>
      </c>
    </row>
    <row r="79" ht="15.75" customHeight="1">
      <c r="A79" s="11" t="s">
        <v>136</v>
      </c>
    </row>
    <row r="80" ht="15.75" customHeight="1">
      <c r="B80" s="11" t="s">
        <v>137</v>
      </c>
    </row>
    <row r="81" ht="15.75" customHeight="1">
      <c r="B81" s="11" t="s">
        <v>138</v>
      </c>
    </row>
    <row r="82" ht="15.75" customHeight="1">
      <c r="B82" s="11" t="s">
        <v>139</v>
      </c>
    </row>
    <row r="83" ht="15.75" customHeight="1">
      <c r="A83" s="11" t="s">
        <v>140</v>
      </c>
    </row>
    <row r="84" ht="15.75" customHeight="1">
      <c r="B84" s="11" t="s">
        <v>141</v>
      </c>
    </row>
    <row r="85" ht="15.75" customHeight="1"/>
    <row r="86" ht="15.75" customHeight="1">
      <c r="A86" s="11" t="s">
        <v>142</v>
      </c>
    </row>
    <row r="87" ht="15.75" customHeight="1"/>
    <row r="88" ht="15.75" customHeight="1">
      <c r="A88" s="11" t="s">
        <v>143</v>
      </c>
    </row>
    <row r="89" ht="15.75" customHeight="1"/>
    <row r="90" ht="15.75" customHeight="1"/>
    <row r="91" ht="15.75" customHeight="1">
      <c r="A91" s="62" t="s">
        <v>144</v>
      </c>
      <c r="B91" s="4"/>
      <c r="C91" s="4"/>
      <c r="D91" s="4"/>
      <c r="E91" s="4"/>
      <c r="F91" s="4"/>
      <c r="G91" s="4"/>
      <c r="H91" s="4"/>
      <c r="I91" s="63"/>
      <c r="J91" s="63"/>
      <c r="K91" s="63"/>
      <c r="L91" s="63"/>
      <c r="M91" s="63"/>
      <c r="N91" s="63"/>
      <c r="O91" s="63"/>
      <c r="P91" s="63"/>
      <c r="Q91" s="64"/>
    </row>
    <row r="92" ht="15.75" customHeight="1"/>
    <row r="93" ht="15.75" customHeight="1">
      <c r="A93" s="16" t="s">
        <v>145</v>
      </c>
    </row>
    <row r="94" ht="15.75" customHeight="1">
      <c r="A94" s="16" t="s">
        <v>146</v>
      </c>
    </row>
    <row r="95" ht="15.75" customHeight="1"/>
    <row r="96" ht="15.75" customHeight="1">
      <c r="A96" s="65" t="s">
        <v>147</v>
      </c>
    </row>
    <row r="97" ht="15.75" customHeight="1">
      <c r="A97" s="16" t="str">
        <f>CONCATENATE("Une fois la saisie des données terminée (surfaces, temps de travail et économie), copier-coller les données de la ligne ",row(SAISIE!B242)," de l'onglet SAISIE dans le tableau à partir de la ligne ",row(DATA!B41)," de l'onglet DATA")</f>
        <v>Une fois la saisie des données terminée (surfaces, temps de travail et économie), copier-coller les données de la ligne 242 de l'onglet SAISIE dans le tableau à partir de la ligne 41 de l'onglet DATA</v>
      </c>
    </row>
    <row r="98" ht="15.75" customHeight="1">
      <c r="A98" s="66" t="s">
        <v>148</v>
      </c>
    </row>
    <row r="99" ht="15.75" customHeight="1">
      <c r="A99" s="16" t="s">
        <v>149</v>
      </c>
    </row>
    <row r="100" ht="15.75" customHeight="1"/>
    <row r="101" ht="15.75" customHeight="1"/>
    <row r="102" ht="15.75" customHeight="1">
      <c r="A102" s="3" t="s">
        <v>150</v>
      </c>
      <c r="B102" s="4"/>
      <c r="C102" s="4"/>
      <c r="D102" s="4"/>
      <c r="E102" s="4"/>
      <c r="F102" s="4"/>
      <c r="G102" s="4"/>
      <c r="H102" s="4"/>
      <c r="I102" s="4"/>
      <c r="J102" s="4"/>
      <c r="K102" s="4"/>
      <c r="L102" s="5"/>
    </row>
    <row r="103" ht="15.75" customHeight="1"/>
    <row r="104" ht="15.75" customHeight="1">
      <c r="A104" s="16" t="s">
        <v>151</v>
      </c>
    </row>
    <row r="105" ht="15.75" customHeight="1">
      <c r="A105" s="16" t="s">
        <v>152</v>
      </c>
    </row>
    <row r="106" ht="15.75" customHeight="1"/>
    <row r="107" ht="15.75" customHeight="1">
      <c r="B107" s="24" t="s">
        <v>78</v>
      </c>
      <c r="C107" s="25"/>
      <c r="D107" s="25"/>
      <c r="E107" s="25"/>
      <c r="F107" s="25"/>
      <c r="G107" s="25"/>
      <c r="H107" s="25"/>
      <c r="I107" s="25"/>
      <c r="J107" s="25"/>
      <c r="K107" s="25"/>
      <c r="L107" s="25"/>
      <c r="M107" s="25"/>
      <c r="N107" s="26"/>
    </row>
    <row r="108" ht="15.75" customHeight="1">
      <c r="B108" s="67" t="s">
        <v>12</v>
      </c>
      <c r="C108" s="4"/>
      <c r="D108" s="4"/>
      <c r="E108" s="4"/>
      <c r="F108" s="4"/>
      <c r="G108" s="4"/>
      <c r="H108" s="4"/>
      <c r="I108" s="4"/>
      <c r="J108" s="4"/>
      <c r="K108" s="4"/>
      <c r="L108" s="4"/>
      <c r="M108" s="4"/>
      <c r="N108" s="68"/>
    </row>
    <row r="109" ht="15.75" customHeight="1">
      <c r="B109" s="36"/>
      <c r="C109" s="69" t="s">
        <v>153</v>
      </c>
      <c r="D109" s="70"/>
      <c r="E109" s="71" t="s">
        <v>5</v>
      </c>
      <c r="F109" s="71"/>
      <c r="G109" s="71" t="s">
        <v>6</v>
      </c>
      <c r="H109" s="71"/>
      <c r="I109" s="71" t="s">
        <v>7</v>
      </c>
      <c r="J109" s="71"/>
      <c r="K109" s="71" t="s">
        <v>8</v>
      </c>
      <c r="L109" s="71"/>
      <c r="M109" s="71" t="s">
        <v>154</v>
      </c>
      <c r="N109" s="48"/>
    </row>
    <row r="110" ht="15.75" customHeight="1">
      <c r="B110" s="36"/>
      <c r="C110" s="34"/>
      <c r="D110" s="70"/>
      <c r="E110" s="72">
        <v>2370.0</v>
      </c>
      <c r="F110" s="72"/>
      <c r="G110" s="72">
        <v>4696.666666666667</v>
      </c>
      <c r="H110" s="72"/>
      <c r="I110" s="72">
        <v>6630.0</v>
      </c>
      <c r="J110" s="72"/>
      <c r="K110" s="72">
        <v>9625.0</v>
      </c>
      <c r="L110" s="72"/>
      <c r="M110" s="72">
        <v>13900.0</v>
      </c>
      <c r="N110" s="48"/>
    </row>
    <row r="111" ht="15.75" customHeight="1">
      <c r="B111" s="36"/>
      <c r="C111" s="73" t="s">
        <v>155</v>
      </c>
      <c r="D111" s="74" t="s">
        <v>156</v>
      </c>
      <c r="E111" s="74" t="s">
        <v>156</v>
      </c>
      <c r="F111" s="74" t="s">
        <v>156</v>
      </c>
      <c r="G111" s="74" t="s">
        <v>156</v>
      </c>
      <c r="H111" s="74" t="s">
        <v>156</v>
      </c>
      <c r="I111" s="74" t="s">
        <v>156</v>
      </c>
      <c r="J111" s="74" t="s">
        <v>156</v>
      </c>
      <c r="K111" s="74" t="s">
        <v>156</v>
      </c>
      <c r="L111" s="74">
        <v>9700.0</v>
      </c>
      <c r="M111" s="74" t="s">
        <v>156</v>
      </c>
      <c r="N111" s="75" t="s">
        <v>156</v>
      </c>
    </row>
    <row r="112" ht="15.75" customHeight="1">
      <c r="B112" s="53" t="s">
        <v>157</v>
      </c>
      <c r="C112" s="40"/>
      <c r="D112" s="40"/>
      <c r="E112" s="40"/>
      <c r="F112" s="40"/>
      <c r="G112" s="40"/>
      <c r="H112" s="40"/>
      <c r="I112" s="40"/>
      <c r="J112" s="40"/>
      <c r="K112" s="40"/>
      <c r="L112" s="40"/>
      <c r="M112" s="40"/>
      <c r="N112" s="41"/>
    </row>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sheetData>
  <mergeCells count="24">
    <mergeCell ref="E28:E30"/>
    <mergeCell ref="F28:F30"/>
    <mergeCell ref="A3:H3"/>
    <mergeCell ref="A4:H4"/>
    <mergeCell ref="A5:H5"/>
    <mergeCell ref="A7:L7"/>
    <mergeCell ref="A14:L14"/>
    <mergeCell ref="A22:H22"/>
    <mergeCell ref="B28:B30"/>
    <mergeCell ref="G28:G30"/>
    <mergeCell ref="B32:B34"/>
    <mergeCell ref="B69:B72"/>
    <mergeCell ref="A76:H76"/>
    <mergeCell ref="A102:L102"/>
    <mergeCell ref="B108:N108"/>
    <mergeCell ref="C109:C110"/>
    <mergeCell ref="A91:H91"/>
    <mergeCell ref="C28:C30"/>
    <mergeCell ref="D28:D30"/>
    <mergeCell ref="C32:C34"/>
    <mergeCell ref="D32:D34"/>
    <mergeCell ref="A36:H36"/>
    <mergeCell ref="C47:N47"/>
    <mergeCell ref="A62:H62"/>
  </mergeCells>
  <conditionalFormatting sqref="D111:N111">
    <cfRule type="cellIs" dxfId="4" priority="1" operator="notEqual">
      <formula>""</formula>
    </cfRule>
  </conditionalFormatting>
  <conditionalFormatting sqref="I73">
    <cfRule type="cellIs" dxfId="5" priority="2" operator="equal">
      <formula>1</formula>
    </cfRule>
  </conditionalFormatting>
  <conditionalFormatting sqref="I73">
    <cfRule type="cellIs" dxfId="6" priority="3" operator="notEqual">
      <formula>1</formula>
    </cfRule>
  </conditionalFormatting>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D965"/>
    <pageSetUpPr/>
  </sheetPr>
  <sheetViews>
    <sheetView workbookViewId="0"/>
  </sheetViews>
  <sheetFormatPr customHeight="1" defaultColWidth="14.43" defaultRowHeight="15.0"/>
  <cols>
    <col customWidth="1" min="1" max="3" width="10.71"/>
    <col customWidth="1" min="4" max="4" width="11.86"/>
    <col customWidth="1" min="5" max="26" width="10.71"/>
  </cols>
  <sheetData>
    <row r="3">
      <c r="B3" s="76" t="s">
        <v>158</v>
      </c>
      <c r="C3" s="77" t="s">
        <v>72</v>
      </c>
    </row>
    <row r="4">
      <c r="B4" s="78"/>
    </row>
    <row r="6">
      <c r="A6" s="21" t="s">
        <v>159</v>
      </c>
      <c r="B6" s="4"/>
      <c r="C6" s="4"/>
      <c r="D6" s="4"/>
      <c r="E6" s="4"/>
      <c r="F6" s="4"/>
      <c r="G6" s="4"/>
      <c r="H6" s="4"/>
      <c r="I6" s="4"/>
      <c r="J6" s="4"/>
      <c r="K6" s="4"/>
      <c r="L6" s="4"/>
      <c r="M6" s="4"/>
      <c r="N6" s="4"/>
      <c r="O6" s="4"/>
      <c r="P6" s="4"/>
      <c r="Q6" s="5"/>
    </row>
    <row r="8">
      <c r="C8" s="79" t="s">
        <v>79</v>
      </c>
      <c r="D8" s="6" t="s">
        <v>109</v>
      </c>
      <c r="E8" s="6" t="s">
        <v>160</v>
      </c>
      <c r="F8" s="6" t="s">
        <v>161</v>
      </c>
      <c r="G8" s="6" t="s">
        <v>162</v>
      </c>
      <c r="H8" s="6" t="s">
        <v>163</v>
      </c>
      <c r="I8" s="6" t="s">
        <v>164</v>
      </c>
      <c r="J8" s="6" t="s">
        <v>165</v>
      </c>
      <c r="K8" s="6" t="s">
        <v>166</v>
      </c>
      <c r="L8" s="6" t="s">
        <v>167</v>
      </c>
      <c r="M8" s="6" t="s">
        <v>168</v>
      </c>
      <c r="N8" s="6" t="s">
        <v>169</v>
      </c>
      <c r="O8" s="6" t="s">
        <v>170</v>
      </c>
      <c r="P8" s="6" t="s">
        <v>171</v>
      </c>
      <c r="Q8" s="6" t="s">
        <v>172</v>
      </c>
      <c r="R8" s="6" t="s">
        <v>173</v>
      </c>
      <c r="S8" s="6" t="s">
        <v>174</v>
      </c>
      <c r="T8" s="6" t="s">
        <v>175</v>
      </c>
      <c r="U8" s="6" t="s">
        <v>176</v>
      </c>
      <c r="V8" s="6" t="s">
        <v>177</v>
      </c>
      <c r="W8" s="6" t="s">
        <v>178</v>
      </c>
      <c r="X8" s="6" t="s">
        <v>179</v>
      </c>
    </row>
    <row r="9">
      <c r="C9" s="80" t="s">
        <v>12</v>
      </c>
      <c r="D9" s="19">
        <f>SUM(E9:X9)</f>
        <v>8500</v>
      </c>
      <c r="E9" s="50">
        <v>2000.0</v>
      </c>
      <c r="F9" s="50">
        <v>1000.0</v>
      </c>
      <c r="G9" s="50">
        <v>3000.0</v>
      </c>
      <c r="H9" s="50">
        <v>2500.0</v>
      </c>
      <c r="I9" s="50"/>
      <c r="J9" s="50"/>
      <c r="K9" s="50"/>
      <c r="L9" s="50"/>
      <c r="M9" s="50"/>
      <c r="N9" s="50"/>
      <c r="O9" s="50"/>
      <c r="P9" s="50"/>
      <c r="Q9" s="50"/>
      <c r="R9" s="50"/>
      <c r="S9" s="50"/>
      <c r="T9" s="50"/>
      <c r="U9" s="50"/>
      <c r="V9" s="50"/>
      <c r="W9" s="50"/>
      <c r="X9" s="50"/>
    </row>
    <row r="10">
      <c r="C10" s="80" t="s">
        <v>180</v>
      </c>
      <c r="D10" s="81">
        <f>SUMPRODUCT(E9:X9,E10:X10)/D9</f>
        <v>2.058823529</v>
      </c>
      <c r="E10" s="50">
        <v>1.0</v>
      </c>
      <c r="F10" s="50">
        <v>2.0</v>
      </c>
      <c r="G10" s="50">
        <v>2.0</v>
      </c>
      <c r="H10" s="50">
        <v>3.0</v>
      </c>
      <c r="I10" s="50"/>
      <c r="J10" s="50"/>
      <c r="K10" s="50"/>
      <c r="L10" s="50"/>
      <c r="M10" s="50"/>
      <c r="N10" s="50"/>
      <c r="O10" s="50"/>
      <c r="P10" s="50"/>
      <c r="Q10" s="50"/>
      <c r="R10" s="50"/>
      <c r="S10" s="50"/>
      <c r="T10" s="50"/>
      <c r="U10" s="50"/>
      <c r="V10" s="50"/>
      <c r="W10" s="50"/>
      <c r="X10" s="50"/>
    </row>
    <row r="11">
      <c r="C11" s="80" t="s">
        <v>18</v>
      </c>
      <c r="D11" s="19">
        <f>SUM(E11:X11)</f>
        <v>17500</v>
      </c>
      <c r="E11" s="19">
        <f t="shared" ref="E11:X11" si="1">E9*E10</f>
        <v>2000</v>
      </c>
      <c r="F11" s="19">
        <f t="shared" si="1"/>
        <v>2000</v>
      </c>
      <c r="G11" s="19">
        <f t="shared" si="1"/>
        <v>6000</v>
      </c>
      <c r="H11" s="19">
        <f t="shared" si="1"/>
        <v>7500</v>
      </c>
      <c r="I11" s="19">
        <f t="shared" si="1"/>
        <v>0</v>
      </c>
      <c r="J11" s="19">
        <f t="shared" si="1"/>
        <v>0</v>
      </c>
      <c r="K11" s="19">
        <f t="shared" si="1"/>
        <v>0</v>
      </c>
      <c r="L11" s="19">
        <f t="shared" si="1"/>
        <v>0</v>
      </c>
      <c r="M11" s="19">
        <f t="shared" si="1"/>
        <v>0</v>
      </c>
      <c r="N11" s="19">
        <f t="shared" si="1"/>
        <v>0</v>
      </c>
      <c r="O11" s="19">
        <f t="shared" si="1"/>
        <v>0</v>
      </c>
      <c r="P11" s="19">
        <f t="shared" si="1"/>
        <v>0</v>
      </c>
      <c r="Q11" s="19">
        <f t="shared" si="1"/>
        <v>0</v>
      </c>
      <c r="R11" s="19">
        <f t="shared" si="1"/>
        <v>0</v>
      </c>
      <c r="S11" s="19">
        <f t="shared" si="1"/>
        <v>0</v>
      </c>
      <c r="T11" s="19">
        <f t="shared" si="1"/>
        <v>0</v>
      </c>
      <c r="U11" s="19">
        <f t="shared" si="1"/>
        <v>0</v>
      </c>
      <c r="V11" s="19">
        <f t="shared" si="1"/>
        <v>0</v>
      </c>
      <c r="W11" s="19">
        <f t="shared" si="1"/>
        <v>0</v>
      </c>
      <c r="X11" s="19">
        <f t="shared" si="1"/>
        <v>0</v>
      </c>
    </row>
    <row r="13">
      <c r="C13" s="82" t="s">
        <v>85</v>
      </c>
      <c r="D13" s="6" t="s">
        <v>109</v>
      </c>
      <c r="E13" s="6" t="s">
        <v>160</v>
      </c>
      <c r="F13" s="6" t="s">
        <v>161</v>
      </c>
      <c r="G13" s="6" t="s">
        <v>162</v>
      </c>
      <c r="H13" s="6" t="s">
        <v>163</v>
      </c>
      <c r="I13" s="6" t="s">
        <v>164</v>
      </c>
      <c r="J13" s="6" t="s">
        <v>165</v>
      </c>
      <c r="K13" s="6" t="s">
        <v>166</v>
      </c>
      <c r="L13" s="6" t="s">
        <v>167</v>
      </c>
      <c r="M13" s="6" t="s">
        <v>168</v>
      </c>
      <c r="N13" s="6" t="s">
        <v>169</v>
      </c>
      <c r="O13" s="6" t="s">
        <v>170</v>
      </c>
      <c r="P13" s="6" t="s">
        <v>171</v>
      </c>
      <c r="Q13" s="6" t="s">
        <v>172</v>
      </c>
      <c r="R13" s="6" t="s">
        <v>173</v>
      </c>
      <c r="S13" s="6" t="s">
        <v>174</v>
      </c>
      <c r="T13" s="6" t="s">
        <v>175</v>
      </c>
      <c r="U13" s="6" t="s">
        <v>176</v>
      </c>
      <c r="V13" s="6" t="s">
        <v>177</v>
      </c>
      <c r="W13" s="6" t="s">
        <v>178</v>
      </c>
      <c r="X13" s="6" t="s">
        <v>179</v>
      </c>
    </row>
    <row r="14">
      <c r="C14" s="80" t="s">
        <v>12</v>
      </c>
      <c r="D14" s="19">
        <f>SUM(E14:X14)</f>
        <v>1200</v>
      </c>
      <c r="E14" s="50">
        <v>400.0</v>
      </c>
      <c r="F14" s="50">
        <v>400.0</v>
      </c>
      <c r="G14" s="50">
        <v>400.0</v>
      </c>
      <c r="H14" s="50"/>
      <c r="I14" s="50"/>
      <c r="J14" s="50"/>
      <c r="K14" s="50"/>
      <c r="L14" s="50"/>
      <c r="M14" s="50"/>
      <c r="N14" s="50"/>
      <c r="O14" s="50"/>
      <c r="P14" s="50"/>
      <c r="Q14" s="50"/>
      <c r="R14" s="50"/>
      <c r="S14" s="50"/>
      <c r="T14" s="50"/>
      <c r="U14" s="50"/>
      <c r="V14" s="50"/>
      <c r="W14" s="50"/>
      <c r="X14" s="50"/>
    </row>
    <row r="15">
      <c r="C15" s="80" t="s">
        <v>180</v>
      </c>
      <c r="D15" s="81">
        <f>SUMPRODUCT(E14:X14,E15:X15)/D14</f>
        <v>3</v>
      </c>
      <c r="E15" s="50">
        <v>3.0</v>
      </c>
      <c r="F15" s="50">
        <v>4.0</v>
      </c>
      <c r="G15" s="50">
        <v>2.0</v>
      </c>
      <c r="H15" s="50"/>
      <c r="I15" s="50"/>
      <c r="J15" s="50"/>
      <c r="K15" s="50"/>
      <c r="L15" s="50"/>
      <c r="M15" s="50"/>
      <c r="N15" s="50"/>
      <c r="O15" s="50"/>
      <c r="P15" s="50"/>
      <c r="Q15" s="50"/>
      <c r="R15" s="50"/>
      <c r="S15" s="50"/>
      <c r="T15" s="50"/>
      <c r="U15" s="50"/>
      <c r="V15" s="50"/>
      <c r="W15" s="50"/>
      <c r="X15" s="50"/>
    </row>
    <row r="16">
      <c r="C16" s="80" t="s">
        <v>18</v>
      </c>
      <c r="D16" s="19">
        <f>SUM(E16:X16)</f>
        <v>3600</v>
      </c>
      <c r="E16" s="19">
        <f t="shared" ref="E16:X16" si="2">E14*E15</f>
        <v>1200</v>
      </c>
      <c r="F16" s="19">
        <f t="shared" si="2"/>
        <v>1600</v>
      </c>
      <c r="G16" s="19">
        <f t="shared" si="2"/>
        <v>800</v>
      </c>
      <c r="H16" s="19">
        <f t="shared" si="2"/>
        <v>0</v>
      </c>
      <c r="I16" s="19">
        <f t="shared" si="2"/>
        <v>0</v>
      </c>
      <c r="J16" s="19">
        <f t="shared" si="2"/>
        <v>0</v>
      </c>
      <c r="K16" s="19">
        <f t="shared" si="2"/>
        <v>0</v>
      </c>
      <c r="L16" s="19">
        <f t="shared" si="2"/>
        <v>0</v>
      </c>
      <c r="M16" s="19">
        <f t="shared" si="2"/>
        <v>0</v>
      </c>
      <c r="N16" s="19">
        <f t="shared" si="2"/>
        <v>0</v>
      </c>
      <c r="O16" s="19">
        <f t="shared" si="2"/>
        <v>0</v>
      </c>
      <c r="P16" s="19">
        <f t="shared" si="2"/>
        <v>0</v>
      </c>
      <c r="Q16" s="19">
        <f t="shared" si="2"/>
        <v>0</v>
      </c>
      <c r="R16" s="19">
        <f t="shared" si="2"/>
        <v>0</v>
      </c>
      <c r="S16" s="19">
        <f t="shared" si="2"/>
        <v>0</v>
      </c>
      <c r="T16" s="19">
        <f t="shared" si="2"/>
        <v>0</v>
      </c>
      <c r="U16" s="19">
        <f t="shared" si="2"/>
        <v>0</v>
      </c>
      <c r="V16" s="19">
        <f t="shared" si="2"/>
        <v>0</v>
      </c>
      <c r="W16" s="19">
        <f t="shared" si="2"/>
        <v>0</v>
      </c>
      <c r="X16" s="19">
        <f t="shared" si="2"/>
        <v>0</v>
      </c>
    </row>
    <row r="18">
      <c r="C18" s="79" t="s">
        <v>79</v>
      </c>
      <c r="D18" s="82" t="s">
        <v>85</v>
      </c>
      <c r="E18" s="83" t="s">
        <v>109</v>
      </c>
    </row>
    <row r="19">
      <c r="B19" s="80" t="s">
        <v>12</v>
      </c>
      <c r="C19" s="19">
        <f>D9</f>
        <v>8500</v>
      </c>
      <c r="D19" s="19">
        <f>D14</f>
        <v>1200</v>
      </c>
      <c r="E19" s="84">
        <f>C19+D19</f>
        <v>9700</v>
      </c>
      <c r="H19" s="80" t="s">
        <v>181</v>
      </c>
      <c r="I19" s="85">
        <f>D19/E19</f>
        <v>0.1237113402</v>
      </c>
    </row>
    <row r="20">
      <c r="B20" s="80" t="s">
        <v>182</v>
      </c>
      <c r="C20" s="81">
        <f t="shared" ref="C20:E20" si="3">C21/C19</f>
        <v>2.058823529</v>
      </c>
      <c r="D20" s="81">
        <f t="shared" si="3"/>
        <v>3</v>
      </c>
      <c r="E20" s="86">
        <f t="shared" si="3"/>
        <v>2.175257732</v>
      </c>
      <c r="H20" s="80" t="s">
        <v>183</v>
      </c>
      <c r="I20" s="85">
        <f>D21/E21</f>
        <v>0.1706161137</v>
      </c>
    </row>
    <row r="21" ht="15.75" customHeight="1">
      <c r="B21" s="80" t="s">
        <v>18</v>
      </c>
      <c r="C21" s="19">
        <f>D11</f>
        <v>17500</v>
      </c>
      <c r="D21" s="19">
        <f>D16</f>
        <v>3600</v>
      </c>
      <c r="E21" s="84">
        <f>C21+D21</f>
        <v>21100</v>
      </c>
    </row>
    <row r="22" ht="15.75" customHeight="1"/>
    <row r="23" ht="15.75" customHeight="1"/>
    <row r="24" ht="15.75" customHeight="1">
      <c r="A24" s="42" t="s">
        <v>184</v>
      </c>
      <c r="B24" s="4"/>
      <c r="C24" s="4"/>
      <c r="D24" s="4"/>
      <c r="E24" s="4"/>
      <c r="F24" s="4"/>
      <c r="G24" s="4"/>
      <c r="H24" s="4"/>
      <c r="I24" s="4"/>
      <c r="J24" s="4"/>
      <c r="K24" s="4"/>
      <c r="L24" s="4"/>
      <c r="M24" s="4"/>
      <c r="N24" s="4"/>
      <c r="O24" s="4"/>
      <c r="P24" s="4"/>
      <c r="Q24" s="5"/>
    </row>
    <row r="25" ht="15.75" customHeight="1">
      <c r="A25" s="11" t="s">
        <v>185</v>
      </c>
    </row>
    <row r="26" ht="15.75" customHeight="1"/>
    <row r="27" ht="15.75" customHeight="1">
      <c r="F27" s="78" t="s">
        <v>186</v>
      </c>
      <c r="G27" s="18">
        <v>1.0</v>
      </c>
    </row>
    <row r="28" ht="15.75" customHeight="1">
      <c r="F28" s="78"/>
    </row>
    <row r="29" ht="15.75" customHeight="1">
      <c r="C29" s="6" t="s">
        <v>187</v>
      </c>
      <c r="F29" s="78"/>
    </row>
    <row r="30" ht="15.75" customHeight="1">
      <c r="B30" s="6" t="s">
        <v>124</v>
      </c>
      <c r="C30" s="87">
        <f>IF($B$45=0,C93,B40)</f>
        <v>1865.790698</v>
      </c>
      <c r="F30" s="78"/>
    </row>
    <row r="31" ht="15.75" customHeight="1">
      <c r="B31" s="6" t="s">
        <v>125</v>
      </c>
      <c r="C31" s="87">
        <f>IF($B$45=0,D93,B41)</f>
        <v>0</v>
      </c>
      <c r="F31" s="78"/>
    </row>
    <row r="32" ht="15.75" customHeight="1">
      <c r="B32" s="6" t="s">
        <v>126</v>
      </c>
      <c r="C32" s="87">
        <f>IF($B$45=0,E93,B42)</f>
        <v>0</v>
      </c>
      <c r="F32" s="78"/>
    </row>
    <row r="33" ht="15.75" customHeight="1">
      <c r="B33" s="6" t="s">
        <v>127</v>
      </c>
      <c r="C33" s="87">
        <f>IF($B$45=0,F93,B43)</f>
        <v>0</v>
      </c>
      <c r="F33" s="78"/>
    </row>
    <row r="34" ht="15.75" customHeight="1">
      <c r="B34" s="6" t="s">
        <v>128</v>
      </c>
      <c r="C34" s="87">
        <f>IF($B$45=0,G93,B44)</f>
        <v>0</v>
      </c>
      <c r="E34" s="45" t="s">
        <v>188</v>
      </c>
      <c r="F34" s="47"/>
      <c r="G34" s="81">
        <f>H93/1650/E19*10000</f>
        <v>1.165754888</v>
      </c>
    </row>
    <row r="35" ht="15.75" customHeight="1">
      <c r="B35" s="83" t="s">
        <v>109</v>
      </c>
      <c r="C35" s="88">
        <f>SUM(C30:C34)</f>
        <v>1865.790698</v>
      </c>
      <c r="E35" s="45" t="s">
        <v>189</v>
      </c>
      <c r="F35" s="47"/>
      <c r="G35" s="89">
        <f>H93/E21*1000</f>
        <v>88.42609942</v>
      </c>
    </row>
    <row r="36" ht="15.75" customHeight="1">
      <c r="F36" s="78"/>
    </row>
    <row r="37" ht="15.75" customHeight="1">
      <c r="A37" s="90" t="s">
        <v>190</v>
      </c>
      <c r="B37" s="4"/>
      <c r="C37" s="4"/>
      <c r="D37" s="4"/>
      <c r="E37" s="4"/>
      <c r="F37" s="4"/>
      <c r="G37" s="4"/>
      <c r="H37" s="4"/>
      <c r="I37" s="4"/>
      <c r="J37" s="4"/>
      <c r="K37" s="4"/>
      <c r="L37" s="4"/>
      <c r="M37" s="4"/>
      <c r="N37" s="4"/>
      <c r="O37" s="4"/>
      <c r="P37" s="4"/>
      <c r="Q37" s="5"/>
    </row>
    <row r="38" ht="15.75" customHeight="1">
      <c r="A38" s="91"/>
      <c r="B38" s="91"/>
      <c r="C38" s="91"/>
      <c r="D38" s="91"/>
      <c r="E38" s="91"/>
      <c r="F38" s="91"/>
      <c r="G38" s="91"/>
      <c r="H38" s="91"/>
      <c r="I38" s="91"/>
      <c r="J38" s="91"/>
      <c r="K38" s="91"/>
      <c r="L38" s="91"/>
      <c r="M38" s="91"/>
      <c r="N38" s="91"/>
      <c r="O38" s="91"/>
      <c r="P38" s="91"/>
      <c r="Q38" s="91"/>
    </row>
    <row r="39" ht="15.75" customHeight="1">
      <c r="B39" s="6" t="s">
        <v>187</v>
      </c>
    </row>
    <row r="40" ht="15.75" customHeight="1">
      <c r="A40" s="6" t="s">
        <v>124</v>
      </c>
      <c r="B40" s="50"/>
    </row>
    <row r="41" ht="15.75" customHeight="1">
      <c r="A41" s="6" t="s">
        <v>125</v>
      </c>
      <c r="B41" s="50"/>
    </row>
    <row r="42" ht="15.75" customHeight="1">
      <c r="A42" s="6" t="s">
        <v>126</v>
      </c>
      <c r="B42" s="50"/>
    </row>
    <row r="43" ht="15.75" customHeight="1">
      <c r="A43" s="6" t="s">
        <v>127</v>
      </c>
      <c r="B43" s="50"/>
    </row>
    <row r="44" ht="15.75" customHeight="1">
      <c r="A44" s="6" t="s">
        <v>128</v>
      </c>
      <c r="B44" s="50"/>
    </row>
    <row r="45" ht="15.75" customHeight="1">
      <c r="A45" s="83" t="s">
        <v>109</v>
      </c>
      <c r="B45" s="92">
        <f>SUM(B40:B44)</f>
        <v>0</v>
      </c>
    </row>
    <row r="46" ht="15.75" customHeight="1"/>
    <row r="47" ht="15.75" customHeight="1">
      <c r="A47" s="90" t="s">
        <v>191</v>
      </c>
      <c r="B47" s="4"/>
      <c r="C47" s="4"/>
      <c r="D47" s="4"/>
      <c r="E47" s="4"/>
      <c r="F47" s="4"/>
      <c r="G47" s="4"/>
      <c r="H47" s="4"/>
      <c r="I47" s="4"/>
      <c r="J47" s="4"/>
      <c r="K47" s="4"/>
      <c r="L47" s="4"/>
      <c r="M47" s="4"/>
      <c r="N47" s="4"/>
      <c r="O47" s="4"/>
      <c r="P47" s="4"/>
      <c r="Q47" s="5"/>
    </row>
    <row r="48" ht="15.75" customHeight="1"/>
    <row r="49" ht="15.75" customHeight="1">
      <c r="B49" s="45" t="s">
        <v>96</v>
      </c>
      <c r="C49" s="46"/>
      <c r="D49" s="46"/>
      <c r="E49" s="46"/>
      <c r="F49" s="46"/>
      <c r="G49" s="46"/>
      <c r="H49" s="46"/>
      <c r="I49" s="46"/>
      <c r="J49" s="46"/>
      <c r="K49" s="46"/>
      <c r="L49" s="46"/>
      <c r="M49" s="47"/>
    </row>
    <row r="50" ht="15.75" customHeight="1">
      <c r="B50" s="6" t="s">
        <v>97</v>
      </c>
      <c r="C50" s="6" t="s">
        <v>98</v>
      </c>
      <c r="D50" s="6" t="s">
        <v>99</v>
      </c>
      <c r="E50" s="6" t="s">
        <v>100</v>
      </c>
      <c r="F50" s="6" t="s">
        <v>101</v>
      </c>
      <c r="G50" s="6" t="s">
        <v>102</v>
      </c>
      <c r="H50" s="6" t="s">
        <v>103</v>
      </c>
      <c r="I50" s="6" t="s">
        <v>104</v>
      </c>
      <c r="J50" s="6" t="s">
        <v>105</v>
      </c>
      <c r="K50" s="6" t="s">
        <v>106</v>
      </c>
      <c r="L50" s="6" t="s">
        <v>107</v>
      </c>
      <c r="M50" s="6" t="s">
        <v>108</v>
      </c>
      <c r="N50" s="6" t="s">
        <v>109</v>
      </c>
    </row>
    <row r="51" ht="15.75" customHeight="1">
      <c r="A51" s="6" t="s">
        <v>110</v>
      </c>
      <c r="B51" s="50">
        <v>1.0</v>
      </c>
      <c r="C51" s="50">
        <v>3.0</v>
      </c>
      <c r="D51" s="50"/>
      <c r="E51" s="50"/>
      <c r="F51" s="50"/>
      <c r="G51" s="50"/>
      <c r="H51" s="50"/>
      <c r="I51" s="50"/>
      <c r="J51" s="50"/>
      <c r="K51" s="50"/>
      <c r="L51" s="50">
        <v>2.0</v>
      </c>
      <c r="M51" s="50">
        <v>2.0</v>
      </c>
      <c r="N51" s="93">
        <f t="shared" ref="N51:N53" si="4">SUM(B51:M51)*(52-$D$56)/(48-$D$56)</f>
        <v>8.744186047</v>
      </c>
    </row>
    <row r="52" ht="15.75" customHeight="1">
      <c r="A52" s="6" t="s">
        <v>111</v>
      </c>
      <c r="B52" s="50"/>
      <c r="C52" s="50">
        <v>1.0</v>
      </c>
      <c r="D52" s="50">
        <v>4.0</v>
      </c>
      <c r="E52" s="50">
        <v>4.0</v>
      </c>
      <c r="F52" s="50"/>
      <c r="G52" s="50"/>
      <c r="H52" s="50"/>
      <c r="I52" s="50"/>
      <c r="J52" s="50">
        <v>2.0</v>
      </c>
      <c r="K52" s="50">
        <v>4.0</v>
      </c>
      <c r="L52" s="50">
        <v>2.0</v>
      </c>
      <c r="M52" s="50"/>
      <c r="N52" s="93">
        <f t="shared" si="4"/>
        <v>18.58139535</v>
      </c>
    </row>
    <row r="53" ht="15.75" customHeight="1">
      <c r="A53" s="6" t="s">
        <v>112</v>
      </c>
      <c r="B53" s="50"/>
      <c r="C53" s="50"/>
      <c r="D53" s="50"/>
      <c r="E53" s="50"/>
      <c r="F53" s="50">
        <v>4.0</v>
      </c>
      <c r="G53" s="50">
        <v>4.0</v>
      </c>
      <c r="H53" s="50">
        <v>4.0</v>
      </c>
      <c r="I53" s="50">
        <v>4.0</v>
      </c>
      <c r="J53" s="50">
        <v>2.0</v>
      </c>
      <c r="K53" s="50"/>
      <c r="L53" s="50"/>
      <c r="M53" s="50"/>
      <c r="N53" s="93">
        <f t="shared" si="4"/>
        <v>19.6744186</v>
      </c>
    </row>
    <row r="54" ht="15.75" customHeight="1">
      <c r="A54" s="6" t="s">
        <v>113</v>
      </c>
      <c r="B54" s="50">
        <v>3.0</v>
      </c>
      <c r="C54" s="50"/>
      <c r="D54" s="50"/>
      <c r="E54" s="50"/>
      <c r="F54" s="50"/>
      <c r="G54" s="50"/>
      <c r="H54" s="50"/>
      <c r="I54" s="50"/>
      <c r="J54" s="50"/>
      <c r="K54" s="50"/>
      <c r="L54" s="50"/>
      <c r="M54" s="50">
        <v>2.0</v>
      </c>
      <c r="N54" s="93">
        <f>SUM(B54:M54)</f>
        <v>5</v>
      </c>
    </row>
    <row r="55" ht="15.75" customHeight="1">
      <c r="N55" s="93">
        <f>SUM(N51:N53)</f>
        <v>47</v>
      </c>
    </row>
    <row r="56" ht="15.75" customHeight="1">
      <c r="C56" s="80" t="s">
        <v>192</v>
      </c>
      <c r="D56" s="94">
        <f>SUM(B54:M54)</f>
        <v>5</v>
      </c>
    </row>
    <row r="57" ht="15.75" customHeight="1"/>
    <row r="58" ht="15.75" customHeight="1"/>
    <row r="59" ht="15.75" customHeight="1">
      <c r="C59" s="6" t="s">
        <v>124</v>
      </c>
      <c r="D59" s="6" t="s">
        <v>125</v>
      </c>
      <c r="E59" s="6" t="s">
        <v>126</v>
      </c>
      <c r="F59" s="6" t="s">
        <v>127</v>
      </c>
      <c r="G59" s="6" t="s">
        <v>128</v>
      </c>
      <c r="H59" s="6" t="s">
        <v>193</v>
      </c>
    </row>
    <row r="60" ht="15.75" customHeight="1">
      <c r="A60" s="95" t="s">
        <v>194</v>
      </c>
      <c r="B60" s="6" t="s">
        <v>195</v>
      </c>
      <c r="C60" s="50">
        <v>5.0</v>
      </c>
      <c r="D60" s="50"/>
      <c r="E60" s="50"/>
      <c r="F60" s="50"/>
      <c r="G60" s="50"/>
      <c r="H60" s="19">
        <f t="shared" ref="H60:H67" si="5">SUM(C60:G60)</f>
        <v>5</v>
      </c>
    </row>
    <row r="61" ht="15.75" customHeight="1">
      <c r="A61" s="31"/>
      <c r="B61" s="6" t="s">
        <v>196</v>
      </c>
      <c r="C61" s="50">
        <v>5.0</v>
      </c>
      <c r="D61" s="50"/>
      <c r="E61" s="50"/>
      <c r="F61" s="50"/>
      <c r="G61" s="50"/>
      <c r="H61" s="19">
        <f t="shared" si="5"/>
        <v>5</v>
      </c>
    </row>
    <row r="62" ht="15.75" customHeight="1">
      <c r="A62" s="31"/>
      <c r="B62" s="6" t="s">
        <v>197</v>
      </c>
      <c r="C62" s="50">
        <v>5.0</v>
      </c>
      <c r="D62" s="50"/>
      <c r="E62" s="50"/>
      <c r="F62" s="50"/>
      <c r="G62" s="50"/>
      <c r="H62" s="19">
        <f t="shared" si="5"/>
        <v>5</v>
      </c>
    </row>
    <row r="63" ht="15.75" customHeight="1">
      <c r="A63" s="31"/>
      <c r="B63" s="6" t="s">
        <v>198</v>
      </c>
      <c r="C63" s="50">
        <v>5.0</v>
      </c>
      <c r="D63" s="50"/>
      <c r="E63" s="50"/>
      <c r="F63" s="50"/>
      <c r="G63" s="50"/>
      <c r="H63" s="19">
        <f t="shared" si="5"/>
        <v>5</v>
      </c>
    </row>
    <row r="64" ht="15.75" customHeight="1">
      <c r="A64" s="31"/>
      <c r="B64" s="6" t="s">
        <v>199</v>
      </c>
      <c r="C64" s="50">
        <v>5.0</v>
      </c>
      <c r="D64" s="50"/>
      <c r="E64" s="50"/>
      <c r="F64" s="50"/>
      <c r="G64" s="50"/>
      <c r="H64" s="19">
        <f t="shared" si="5"/>
        <v>5</v>
      </c>
    </row>
    <row r="65" ht="15.75" customHeight="1">
      <c r="A65" s="31"/>
      <c r="B65" s="6" t="s">
        <v>200</v>
      </c>
      <c r="C65" s="50"/>
      <c r="D65" s="50"/>
      <c r="E65" s="50"/>
      <c r="F65" s="50"/>
      <c r="G65" s="50"/>
      <c r="H65" s="19">
        <f t="shared" si="5"/>
        <v>0</v>
      </c>
    </row>
    <row r="66" ht="15.75" customHeight="1">
      <c r="A66" s="34"/>
      <c r="B66" s="6" t="s">
        <v>201</v>
      </c>
      <c r="C66" s="50"/>
      <c r="D66" s="50"/>
      <c r="E66" s="50"/>
      <c r="F66" s="50"/>
      <c r="G66" s="50"/>
      <c r="H66" s="19">
        <f t="shared" si="5"/>
        <v>0</v>
      </c>
    </row>
    <row r="67" ht="15.75" customHeight="1">
      <c r="A67" s="45" t="s">
        <v>202</v>
      </c>
      <c r="B67" s="47"/>
      <c r="C67" s="19">
        <f t="shared" ref="C67:G67" si="6">SUM(C60:C66)</f>
        <v>25</v>
      </c>
      <c r="D67" s="19">
        <f t="shared" si="6"/>
        <v>0</v>
      </c>
      <c r="E67" s="19">
        <f t="shared" si="6"/>
        <v>0</v>
      </c>
      <c r="F67" s="19">
        <f t="shared" si="6"/>
        <v>0</v>
      </c>
      <c r="G67" s="19">
        <f t="shared" si="6"/>
        <v>0</v>
      </c>
      <c r="H67" s="19">
        <f t="shared" si="5"/>
        <v>25</v>
      </c>
    </row>
    <row r="68" ht="15.75" customHeight="1"/>
    <row r="69" ht="15.75" customHeight="1">
      <c r="C69" s="6" t="s">
        <v>124</v>
      </c>
      <c r="D69" s="6" t="s">
        <v>125</v>
      </c>
      <c r="E69" s="6" t="s">
        <v>126</v>
      </c>
      <c r="F69" s="6" t="s">
        <v>127</v>
      </c>
      <c r="G69" s="6" t="s">
        <v>128</v>
      </c>
      <c r="H69" s="6" t="s">
        <v>193</v>
      </c>
    </row>
    <row r="70" ht="15.0" customHeight="1">
      <c r="A70" s="95" t="s">
        <v>203</v>
      </c>
      <c r="B70" s="6" t="s">
        <v>195</v>
      </c>
      <c r="C70" s="50">
        <v>8.0</v>
      </c>
      <c r="D70" s="50"/>
      <c r="E70" s="50"/>
      <c r="F70" s="50"/>
      <c r="G70" s="50"/>
      <c r="H70" s="19">
        <f t="shared" ref="H70:H77" si="7">SUM(C70:G70)</f>
        <v>8</v>
      </c>
    </row>
    <row r="71" ht="15.75" customHeight="1">
      <c r="A71" s="31"/>
      <c r="B71" s="6" t="s">
        <v>196</v>
      </c>
      <c r="C71" s="50">
        <v>8.0</v>
      </c>
      <c r="D71" s="50"/>
      <c r="E71" s="50"/>
      <c r="F71" s="50"/>
      <c r="G71" s="50"/>
      <c r="H71" s="19">
        <f t="shared" si="7"/>
        <v>8</v>
      </c>
    </row>
    <row r="72" ht="15.75" customHeight="1">
      <c r="A72" s="31"/>
      <c r="B72" s="6" t="s">
        <v>197</v>
      </c>
      <c r="C72" s="50">
        <v>8.0</v>
      </c>
      <c r="D72" s="50"/>
      <c r="E72" s="50"/>
      <c r="F72" s="50"/>
      <c r="G72" s="50"/>
      <c r="H72" s="19">
        <f t="shared" si="7"/>
        <v>8</v>
      </c>
    </row>
    <row r="73" ht="15.75" customHeight="1">
      <c r="A73" s="31"/>
      <c r="B73" s="6" t="s">
        <v>198</v>
      </c>
      <c r="C73" s="50">
        <v>8.0</v>
      </c>
      <c r="D73" s="50"/>
      <c r="E73" s="50"/>
      <c r="F73" s="50"/>
      <c r="G73" s="50"/>
      <c r="H73" s="19">
        <f t="shared" si="7"/>
        <v>8</v>
      </c>
    </row>
    <row r="74" ht="15.75" customHeight="1">
      <c r="A74" s="31"/>
      <c r="B74" s="6" t="s">
        <v>199</v>
      </c>
      <c r="C74" s="50">
        <v>9.0</v>
      </c>
      <c r="D74" s="50"/>
      <c r="E74" s="50"/>
      <c r="F74" s="50"/>
      <c r="G74" s="50"/>
      <c r="H74" s="19">
        <f t="shared" si="7"/>
        <v>9</v>
      </c>
    </row>
    <row r="75" ht="15.75" customHeight="1">
      <c r="A75" s="31"/>
      <c r="B75" s="6" t="s">
        <v>200</v>
      </c>
      <c r="C75" s="50"/>
      <c r="D75" s="50"/>
      <c r="E75" s="50"/>
      <c r="F75" s="50"/>
      <c r="G75" s="50"/>
      <c r="H75" s="19">
        <f t="shared" si="7"/>
        <v>0</v>
      </c>
    </row>
    <row r="76" ht="15.75" customHeight="1">
      <c r="A76" s="34"/>
      <c r="B76" s="6" t="s">
        <v>201</v>
      </c>
      <c r="C76" s="50"/>
      <c r="D76" s="50"/>
      <c r="E76" s="50"/>
      <c r="F76" s="50"/>
      <c r="G76" s="50"/>
      <c r="H76" s="19">
        <f t="shared" si="7"/>
        <v>0</v>
      </c>
    </row>
    <row r="77" ht="15.75" customHeight="1">
      <c r="A77" s="45" t="s">
        <v>204</v>
      </c>
      <c r="B77" s="47"/>
      <c r="C77" s="19">
        <f t="shared" ref="C77:G77" si="8">SUM(C70:C76)</f>
        <v>41</v>
      </c>
      <c r="D77" s="19">
        <f t="shared" si="8"/>
        <v>0</v>
      </c>
      <c r="E77" s="19">
        <f t="shared" si="8"/>
        <v>0</v>
      </c>
      <c r="F77" s="19">
        <f t="shared" si="8"/>
        <v>0</v>
      </c>
      <c r="G77" s="19">
        <f t="shared" si="8"/>
        <v>0</v>
      </c>
      <c r="H77" s="19">
        <f t="shared" si="7"/>
        <v>41</v>
      </c>
    </row>
    <row r="78" ht="15.75" customHeight="1"/>
    <row r="79" ht="15.75" customHeight="1">
      <c r="C79" s="6" t="s">
        <v>124</v>
      </c>
      <c r="D79" s="6" t="s">
        <v>125</v>
      </c>
      <c r="E79" s="6" t="s">
        <v>126</v>
      </c>
      <c r="F79" s="6" t="s">
        <v>127</v>
      </c>
      <c r="G79" s="6" t="s">
        <v>128</v>
      </c>
      <c r="H79" s="6" t="s">
        <v>193</v>
      </c>
    </row>
    <row r="80" ht="15.0" customHeight="1">
      <c r="A80" s="95" t="s">
        <v>129</v>
      </c>
      <c r="B80" s="6" t="s">
        <v>195</v>
      </c>
      <c r="C80" s="50">
        <v>9.0</v>
      </c>
      <c r="D80" s="50"/>
      <c r="E80" s="50"/>
      <c r="F80" s="50"/>
      <c r="G80" s="50"/>
      <c r="H80" s="19">
        <f t="shared" ref="H80:H87" si="9">SUM(C80:G80)</f>
        <v>9</v>
      </c>
    </row>
    <row r="81" ht="15.75" customHeight="1">
      <c r="A81" s="31"/>
      <c r="B81" s="6" t="s">
        <v>196</v>
      </c>
      <c r="C81" s="50">
        <v>9.0</v>
      </c>
      <c r="D81" s="50"/>
      <c r="E81" s="50"/>
      <c r="F81" s="50"/>
      <c r="G81" s="50"/>
      <c r="H81" s="19">
        <f t="shared" si="9"/>
        <v>9</v>
      </c>
    </row>
    <row r="82" ht="15.75" customHeight="1">
      <c r="A82" s="31"/>
      <c r="B82" s="6" t="s">
        <v>197</v>
      </c>
      <c r="C82" s="50">
        <v>9.0</v>
      </c>
      <c r="D82" s="50"/>
      <c r="E82" s="50"/>
      <c r="F82" s="50"/>
      <c r="G82" s="50"/>
      <c r="H82" s="19">
        <f t="shared" si="9"/>
        <v>9</v>
      </c>
    </row>
    <row r="83" ht="15.75" customHeight="1">
      <c r="A83" s="31"/>
      <c r="B83" s="6" t="s">
        <v>198</v>
      </c>
      <c r="C83" s="50">
        <v>9.0</v>
      </c>
      <c r="D83" s="50"/>
      <c r="E83" s="50"/>
      <c r="F83" s="50"/>
      <c r="G83" s="50"/>
      <c r="H83" s="19">
        <f t="shared" si="9"/>
        <v>9</v>
      </c>
    </row>
    <row r="84" ht="15.75" customHeight="1">
      <c r="A84" s="31"/>
      <c r="B84" s="6" t="s">
        <v>199</v>
      </c>
      <c r="C84" s="50">
        <v>9.0</v>
      </c>
      <c r="D84" s="50"/>
      <c r="E84" s="50"/>
      <c r="F84" s="50"/>
      <c r="G84" s="50"/>
      <c r="H84" s="19">
        <f t="shared" si="9"/>
        <v>9</v>
      </c>
    </row>
    <row r="85" ht="15.75" customHeight="1">
      <c r="A85" s="31"/>
      <c r="B85" s="6" t="s">
        <v>200</v>
      </c>
      <c r="C85" s="50"/>
      <c r="D85" s="50"/>
      <c r="E85" s="50"/>
      <c r="F85" s="50"/>
      <c r="G85" s="50"/>
      <c r="H85" s="19">
        <f t="shared" si="9"/>
        <v>0</v>
      </c>
    </row>
    <row r="86" ht="15.75" customHeight="1">
      <c r="A86" s="34"/>
      <c r="B86" s="6" t="s">
        <v>201</v>
      </c>
      <c r="C86" s="50"/>
      <c r="D86" s="50"/>
      <c r="E86" s="50"/>
      <c r="F86" s="50"/>
      <c r="G86" s="50"/>
      <c r="H86" s="19">
        <f t="shared" si="9"/>
        <v>0</v>
      </c>
    </row>
    <row r="87" ht="15.75" customHeight="1">
      <c r="A87" s="45" t="s">
        <v>205</v>
      </c>
      <c r="B87" s="47"/>
      <c r="C87" s="19">
        <f t="shared" ref="C87:G87" si="10">SUM(C80:C86)</f>
        <v>45</v>
      </c>
      <c r="D87" s="19">
        <f t="shared" si="10"/>
        <v>0</v>
      </c>
      <c r="E87" s="19">
        <f t="shared" si="10"/>
        <v>0</v>
      </c>
      <c r="F87" s="19">
        <f t="shared" si="10"/>
        <v>0</v>
      </c>
      <c r="G87" s="19">
        <f t="shared" si="10"/>
        <v>0</v>
      </c>
      <c r="H87" s="19">
        <f t="shared" si="9"/>
        <v>45</v>
      </c>
    </row>
    <row r="88" ht="15.75" customHeight="1"/>
    <row r="89" ht="15.75" customHeight="1">
      <c r="C89" s="6" t="s">
        <v>124</v>
      </c>
      <c r="D89" s="6" t="s">
        <v>125</v>
      </c>
      <c r="E89" s="6" t="s">
        <v>126</v>
      </c>
      <c r="F89" s="6" t="s">
        <v>127</v>
      </c>
      <c r="G89" s="6" t="s">
        <v>128</v>
      </c>
    </row>
    <row r="90" ht="15.75" customHeight="1">
      <c r="B90" s="6" t="s">
        <v>194</v>
      </c>
      <c r="C90" s="89">
        <f>C67*$N51</f>
        <v>218.6046512</v>
      </c>
      <c r="D90" s="89">
        <v>0.0</v>
      </c>
      <c r="E90" s="89">
        <f t="shared" ref="E90:G90" si="11">E67*$N51</f>
        <v>0</v>
      </c>
      <c r="F90" s="89">
        <f t="shared" si="11"/>
        <v>0</v>
      </c>
      <c r="G90" s="89">
        <f t="shared" si="11"/>
        <v>0</v>
      </c>
    </row>
    <row r="91" ht="15.75" customHeight="1">
      <c r="B91" s="6" t="s">
        <v>203</v>
      </c>
      <c r="C91" s="89">
        <f t="shared" ref="C91:G91" si="12">C77*$N52</f>
        <v>761.8372093</v>
      </c>
      <c r="D91" s="89">
        <f t="shared" si="12"/>
        <v>0</v>
      </c>
      <c r="E91" s="89">
        <f t="shared" si="12"/>
        <v>0</v>
      </c>
      <c r="F91" s="89">
        <f t="shared" si="12"/>
        <v>0</v>
      </c>
      <c r="G91" s="89">
        <f t="shared" si="12"/>
        <v>0</v>
      </c>
    </row>
    <row r="92" ht="15.75" customHeight="1">
      <c r="B92" s="6" t="s">
        <v>129</v>
      </c>
      <c r="C92" s="89">
        <f>C87*$N53</f>
        <v>885.3488372</v>
      </c>
      <c r="D92" s="89">
        <v>0.0</v>
      </c>
      <c r="E92" s="89">
        <f t="shared" ref="E92:G92" si="13">E87*$N53</f>
        <v>0</v>
      </c>
      <c r="F92" s="89">
        <f t="shared" si="13"/>
        <v>0</v>
      </c>
      <c r="G92" s="89">
        <f t="shared" si="13"/>
        <v>0</v>
      </c>
    </row>
    <row r="93" ht="15.75" customHeight="1">
      <c r="B93" s="83" t="s">
        <v>206</v>
      </c>
      <c r="C93" s="96">
        <f t="shared" ref="C93:G93" si="14">SUM(C90:C92)</f>
        <v>1865.790698</v>
      </c>
      <c r="D93" s="96">
        <f t="shared" si="14"/>
        <v>0</v>
      </c>
      <c r="E93" s="96">
        <f t="shared" si="14"/>
        <v>0</v>
      </c>
      <c r="F93" s="96">
        <f t="shared" si="14"/>
        <v>0</v>
      </c>
      <c r="G93" s="96">
        <f t="shared" si="14"/>
        <v>0</v>
      </c>
      <c r="H93" s="96">
        <f>SUM(C93:G93)</f>
        <v>1865.790698</v>
      </c>
    </row>
    <row r="94" ht="15.75" customHeight="1"/>
    <row r="95" ht="15.75" customHeight="1"/>
    <row r="96" ht="15.75" customHeight="1"/>
    <row r="97" ht="15.75" customHeight="1"/>
    <row r="98" ht="15.75" customHeight="1">
      <c r="A98" s="42" t="s">
        <v>207</v>
      </c>
      <c r="B98" s="4"/>
      <c r="C98" s="4"/>
      <c r="D98" s="4"/>
      <c r="E98" s="4"/>
      <c r="F98" s="4"/>
      <c r="G98" s="4"/>
      <c r="H98" s="4"/>
      <c r="I98" s="4"/>
      <c r="J98" s="4"/>
      <c r="K98" s="4"/>
      <c r="L98" s="4"/>
      <c r="M98" s="4"/>
      <c r="N98" s="4"/>
      <c r="O98" s="4"/>
      <c r="P98" s="4"/>
      <c r="Q98" s="5"/>
    </row>
    <row r="99" ht="15.75" customHeight="1">
      <c r="A99" s="91"/>
      <c r="B99" s="91"/>
      <c r="C99" s="91"/>
      <c r="D99" s="91"/>
      <c r="E99" s="91"/>
      <c r="F99" s="91"/>
      <c r="G99" s="91"/>
      <c r="H99" s="91"/>
      <c r="I99" s="91"/>
      <c r="J99" s="91"/>
      <c r="K99" s="91"/>
      <c r="L99" s="91"/>
      <c r="M99" s="91"/>
      <c r="N99" s="91"/>
      <c r="O99" s="91"/>
      <c r="P99" s="91"/>
      <c r="Q99" s="91"/>
    </row>
    <row r="100" ht="15.75" customHeight="1">
      <c r="A100" s="91"/>
      <c r="B100" s="97"/>
      <c r="C100" s="98" t="s">
        <v>208</v>
      </c>
      <c r="D100" s="91"/>
      <c r="E100" s="91"/>
      <c r="F100" s="91"/>
      <c r="G100" s="91"/>
      <c r="H100" s="91"/>
      <c r="I100" s="91"/>
      <c r="J100" s="91"/>
      <c r="K100" s="91"/>
      <c r="L100" s="91"/>
      <c r="M100" s="91"/>
      <c r="N100" s="91"/>
      <c r="O100" s="91"/>
      <c r="P100" s="91"/>
      <c r="Q100" s="91"/>
    </row>
    <row r="101" ht="15.75" customHeight="1">
      <c r="A101" s="91"/>
      <c r="B101" s="80" t="s">
        <v>130</v>
      </c>
      <c r="C101" s="99">
        <f t="shared" ref="C101:C104" si="15">IF(C109="",C138,C109)</f>
        <v>0.3558139535</v>
      </c>
      <c r="D101" s="91"/>
      <c r="E101" s="91"/>
      <c r="F101" s="91"/>
      <c r="G101" s="91"/>
      <c r="H101" s="91"/>
      <c r="I101" s="91"/>
      <c r="J101" s="91"/>
      <c r="K101" s="91"/>
      <c r="L101" s="91"/>
      <c r="M101" s="91"/>
      <c r="N101" s="91"/>
      <c r="O101" s="91"/>
      <c r="P101" s="91"/>
      <c r="Q101" s="91"/>
    </row>
    <row r="102" ht="15.75" customHeight="1">
      <c r="A102" s="91"/>
      <c r="B102" s="80" t="s">
        <v>131</v>
      </c>
      <c r="C102" s="99">
        <f t="shared" si="15"/>
        <v>0.3325581395</v>
      </c>
      <c r="D102" s="91"/>
      <c r="E102" s="91"/>
      <c r="F102" s="91"/>
      <c r="G102" s="91"/>
      <c r="H102" s="91"/>
      <c r="I102" s="91"/>
      <c r="J102" s="91"/>
      <c r="K102" s="91"/>
      <c r="L102" s="91"/>
      <c r="M102" s="91"/>
      <c r="N102" s="91"/>
      <c r="O102" s="91"/>
      <c r="P102" s="91"/>
      <c r="Q102" s="91"/>
    </row>
    <row r="103" ht="15.75" customHeight="1">
      <c r="A103" s="91"/>
      <c r="B103" s="80" t="s">
        <v>132</v>
      </c>
      <c r="C103" s="99">
        <f t="shared" si="15"/>
        <v>0.261627907</v>
      </c>
      <c r="D103" s="91"/>
      <c r="E103" s="91"/>
      <c r="F103" s="91"/>
      <c r="G103" s="91"/>
      <c r="H103" s="91"/>
      <c r="I103" s="91"/>
      <c r="J103" s="91"/>
      <c r="K103" s="91"/>
      <c r="L103" s="91"/>
      <c r="M103" s="91"/>
      <c r="N103" s="91"/>
      <c r="O103" s="91"/>
      <c r="P103" s="91"/>
      <c r="Q103" s="91"/>
    </row>
    <row r="104" ht="15.75" customHeight="1">
      <c r="A104" s="91"/>
      <c r="B104" s="80" t="s">
        <v>133</v>
      </c>
      <c r="C104" s="99">
        <f t="shared" si="15"/>
        <v>0.05</v>
      </c>
      <c r="D104" s="91"/>
      <c r="E104" s="91"/>
      <c r="F104" s="91"/>
      <c r="G104" s="91"/>
      <c r="H104" s="91"/>
      <c r="I104" s="91"/>
      <c r="J104" s="91"/>
      <c r="K104" s="91"/>
      <c r="L104" s="91"/>
      <c r="M104" s="91"/>
      <c r="N104" s="91"/>
      <c r="O104" s="91"/>
      <c r="P104" s="91"/>
      <c r="Q104" s="91"/>
    </row>
    <row r="105" ht="15.75" customHeight="1"/>
    <row r="106" ht="15.75" customHeight="1">
      <c r="A106" s="100" t="s">
        <v>209</v>
      </c>
      <c r="B106" s="4"/>
      <c r="C106" s="4"/>
      <c r="D106" s="4"/>
      <c r="E106" s="4"/>
      <c r="F106" s="4"/>
      <c r="G106" s="4"/>
      <c r="H106" s="4"/>
      <c r="I106" s="4"/>
      <c r="J106" s="4"/>
      <c r="K106" s="4"/>
      <c r="L106" s="4"/>
      <c r="M106" s="4"/>
      <c r="N106" s="4"/>
      <c r="O106" s="4"/>
      <c r="P106" s="4"/>
      <c r="Q106" s="5"/>
    </row>
    <row r="107" ht="15.75" customHeight="1">
      <c r="A107" s="97"/>
      <c r="B107" s="97"/>
      <c r="C107" s="97"/>
      <c r="D107" s="97"/>
      <c r="E107" s="97"/>
      <c r="F107" s="97"/>
      <c r="G107" s="97"/>
      <c r="H107" s="97"/>
      <c r="I107" s="97"/>
      <c r="J107" s="97"/>
      <c r="K107" s="97"/>
      <c r="L107" s="97"/>
      <c r="M107" s="97"/>
      <c r="N107" s="97"/>
      <c r="O107" s="97"/>
      <c r="P107" s="97"/>
      <c r="Q107" s="97"/>
      <c r="R107" s="20"/>
      <c r="S107" s="20"/>
      <c r="T107" s="20"/>
      <c r="U107" s="20"/>
      <c r="V107" s="20"/>
      <c r="W107" s="20"/>
      <c r="X107" s="20"/>
      <c r="Y107" s="20"/>
      <c r="Z107" s="20"/>
    </row>
    <row r="108" ht="15.75" customHeight="1">
      <c r="A108" s="97"/>
      <c r="B108" s="97"/>
      <c r="C108" s="98" t="s">
        <v>208</v>
      </c>
      <c r="D108" s="97"/>
      <c r="E108" s="97"/>
      <c r="F108" s="97"/>
      <c r="G108" s="97"/>
      <c r="H108" s="97"/>
      <c r="I108" s="97"/>
      <c r="J108" s="97"/>
      <c r="K108" s="97"/>
      <c r="L108" s="97"/>
      <c r="M108" s="97"/>
      <c r="N108" s="97"/>
      <c r="O108" s="97"/>
      <c r="P108" s="97"/>
      <c r="Q108" s="97"/>
      <c r="R108" s="20"/>
      <c r="S108" s="20"/>
      <c r="T108" s="20"/>
      <c r="U108" s="20"/>
      <c r="V108" s="20"/>
      <c r="W108" s="20"/>
      <c r="X108" s="20"/>
      <c r="Y108" s="20"/>
      <c r="Z108" s="20"/>
    </row>
    <row r="109" ht="15.75" customHeight="1">
      <c r="A109" s="97"/>
      <c r="B109" s="80" t="s">
        <v>130</v>
      </c>
      <c r="C109" s="101"/>
      <c r="D109" s="97"/>
      <c r="E109" s="97"/>
      <c r="F109" s="97"/>
      <c r="G109" s="97"/>
      <c r="H109" s="97"/>
      <c r="I109" s="97"/>
      <c r="J109" s="97"/>
      <c r="K109" s="97"/>
      <c r="L109" s="97"/>
      <c r="M109" s="97"/>
      <c r="N109" s="97"/>
      <c r="O109" s="97"/>
      <c r="P109" s="97"/>
      <c r="Q109" s="97"/>
      <c r="R109" s="20"/>
      <c r="S109" s="20"/>
      <c r="T109" s="20"/>
      <c r="U109" s="20"/>
      <c r="V109" s="20"/>
      <c r="W109" s="20"/>
      <c r="X109" s="20"/>
      <c r="Y109" s="20"/>
      <c r="Z109" s="20"/>
    </row>
    <row r="110" ht="15.75" customHeight="1">
      <c r="A110" s="97"/>
      <c r="B110" s="80" t="s">
        <v>131</v>
      </c>
      <c r="C110" s="101"/>
      <c r="D110" s="97"/>
      <c r="E110" s="97"/>
      <c r="F110" s="97"/>
      <c r="G110" s="97"/>
      <c r="H110" s="97"/>
      <c r="I110" s="97"/>
      <c r="J110" s="97"/>
      <c r="K110" s="97"/>
      <c r="L110" s="97"/>
      <c r="M110" s="97"/>
      <c r="N110" s="97"/>
      <c r="O110" s="97"/>
      <c r="P110" s="97"/>
      <c r="Q110" s="97"/>
      <c r="R110" s="20"/>
      <c r="S110" s="20"/>
      <c r="T110" s="20"/>
      <c r="U110" s="20"/>
      <c r="V110" s="20"/>
      <c r="W110" s="20"/>
      <c r="X110" s="20"/>
      <c r="Y110" s="20"/>
      <c r="Z110" s="20"/>
    </row>
    <row r="111" ht="15.75" customHeight="1">
      <c r="A111" s="97"/>
      <c r="B111" s="80" t="s">
        <v>132</v>
      </c>
      <c r="C111" s="101"/>
      <c r="D111" s="97"/>
      <c r="E111" s="97"/>
      <c r="F111" s="97"/>
      <c r="G111" s="97"/>
      <c r="H111" s="97"/>
      <c r="I111" s="97"/>
      <c r="J111" s="97"/>
      <c r="K111" s="97"/>
      <c r="L111" s="97"/>
      <c r="M111" s="97"/>
      <c r="N111" s="97"/>
      <c r="O111" s="97"/>
      <c r="P111" s="97"/>
      <c r="Q111" s="97"/>
      <c r="R111" s="20"/>
      <c r="S111" s="20"/>
      <c r="T111" s="20"/>
      <c r="U111" s="20"/>
      <c r="V111" s="20"/>
      <c r="W111" s="20"/>
      <c r="X111" s="20"/>
      <c r="Y111" s="20"/>
      <c r="Z111" s="20"/>
    </row>
    <row r="112" ht="15.75" customHeight="1">
      <c r="A112" s="97"/>
      <c r="B112" s="80" t="s">
        <v>133</v>
      </c>
      <c r="C112" s="101"/>
      <c r="D112" s="97"/>
      <c r="E112" s="97"/>
      <c r="F112" s="97"/>
      <c r="G112" s="97"/>
      <c r="H112" s="97"/>
      <c r="I112" s="97"/>
      <c r="J112" s="97"/>
      <c r="K112" s="97"/>
      <c r="L112" s="97"/>
      <c r="M112" s="97"/>
      <c r="N112" s="97"/>
      <c r="O112" s="97"/>
      <c r="P112" s="97"/>
      <c r="Q112" s="97"/>
      <c r="R112" s="20"/>
      <c r="S112" s="20"/>
      <c r="T112" s="20"/>
      <c r="U112" s="20"/>
      <c r="V112" s="20"/>
      <c r="W112" s="20"/>
      <c r="X112" s="20"/>
      <c r="Y112" s="20"/>
      <c r="Z112" s="20"/>
    </row>
    <row r="113" ht="15.75" customHeight="1">
      <c r="A113" s="97"/>
      <c r="B113" s="97"/>
      <c r="C113" s="97"/>
      <c r="D113" s="97"/>
      <c r="E113" s="97"/>
      <c r="F113" s="97"/>
      <c r="G113" s="97"/>
      <c r="H113" s="97"/>
      <c r="I113" s="97"/>
      <c r="J113" s="97"/>
      <c r="K113" s="97"/>
      <c r="L113" s="97"/>
      <c r="M113" s="97"/>
      <c r="N113" s="97"/>
      <c r="O113" s="97"/>
      <c r="P113" s="97"/>
      <c r="Q113" s="97"/>
      <c r="R113" s="20"/>
      <c r="S113" s="20"/>
      <c r="T113" s="20"/>
      <c r="U113" s="20"/>
      <c r="V113" s="20"/>
      <c r="W113" s="20"/>
      <c r="X113" s="20"/>
      <c r="Y113" s="20"/>
      <c r="Z113" s="20"/>
    </row>
    <row r="114" ht="15.75" customHeight="1">
      <c r="A114" s="100" t="s">
        <v>210</v>
      </c>
      <c r="B114" s="4"/>
      <c r="C114" s="4"/>
      <c r="D114" s="4"/>
      <c r="E114" s="4"/>
      <c r="F114" s="4"/>
      <c r="G114" s="4"/>
      <c r="H114" s="4"/>
      <c r="I114" s="4"/>
      <c r="J114" s="4"/>
      <c r="K114" s="4"/>
      <c r="L114" s="4"/>
      <c r="M114" s="4"/>
      <c r="N114" s="4"/>
      <c r="O114" s="4"/>
      <c r="P114" s="4"/>
      <c r="Q114" s="5"/>
      <c r="R114" s="20"/>
      <c r="S114" s="20"/>
      <c r="T114" s="20"/>
      <c r="U114" s="20"/>
      <c r="V114" s="20"/>
      <c r="W114" s="20"/>
      <c r="X114" s="20"/>
      <c r="Y114" s="20"/>
      <c r="Z114" s="20"/>
    </row>
    <row r="115" ht="15.75" customHeight="1">
      <c r="A115" s="91"/>
      <c r="B115" s="91"/>
      <c r="C115" s="91"/>
      <c r="D115" s="91"/>
      <c r="E115" s="91"/>
      <c r="F115" s="91"/>
      <c r="G115" s="91"/>
      <c r="H115" s="91"/>
      <c r="I115" s="91"/>
      <c r="J115" s="91"/>
      <c r="K115" s="91"/>
      <c r="L115" s="91"/>
      <c r="M115" s="91"/>
      <c r="N115" s="91"/>
      <c r="O115" s="91"/>
      <c r="P115" s="91"/>
      <c r="Q115" s="91"/>
    </row>
    <row r="116" ht="15.75" customHeight="1">
      <c r="C116" s="6" t="s">
        <v>124</v>
      </c>
      <c r="D116" s="6" t="s">
        <v>125</v>
      </c>
      <c r="E116" s="6" t="s">
        <v>126</v>
      </c>
      <c r="F116" s="6" t="s">
        <v>127</v>
      </c>
      <c r="G116" s="6" t="s">
        <v>128</v>
      </c>
      <c r="H116" s="6" t="s">
        <v>109</v>
      </c>
    </row>
    <row r="117" ht="15.0" customHeight="1">
      <c r="A117" s="28" t="s">
        <v>194</v>
      </c>
      <c r="B117" s="6" t="s">
        <v>130</v>
      </c>
      <c r="C117" s="58">
        <v>0.25</v>
      </c>
      <c r="D117" s="58">
        <v>0.25</v>
      </c>
      <c r="E117" s="58"/>
      <c r="F117" s="58"/>
      <c r="G117" s="58"/>
      <c r="H117" s="85">
        <f t="shared" ref="H117:H120" si="16">SUM(C117:G117)</f>
        <v>0.5</v>
      </c>
    </row>
    <row r="118" ht="15.75" customHeight="1">
      <c r="A118" s="31"/>
      <c r="B118" s="6" t="s">
        <v>131</v>
      </c>
      <c r="C118" s="58">
        <v>0.1</v>
      </c>
      <c r="D118" s="58">
        <v>0.15</v>
      </c>
      <c r="E118" s="58"/>
      <c r="F118" s="58"/>
      <c r="G118" s="58"/>
      <c r="H118" s="85">
        <f t="shared" si="16"/>
        <v>0.25</v>
      </c>
    </row>
    <row r="119" ht="15.75" customHeight="1">
      <c r="A119" s="31"/>
      <c r="B119" s="6" t="s">
        <v>132</v>
      </c>
      <c r="C119" s="58"/>
      <c r="D119" s="58">
        <v>0.2</v>
      </c>
      <c r="E119" s="58"/>
      <c r="F119" s="58"/>
      <c r="G119" s="58"/>
      <c r="H119" s="85">
        <f t="shared" si="16"/>
        <v>0.2</v>
      </c>
    </row>
    <row r="120" ht="15.75" customHeight="1">
      <c r="A120" s="34"/>
      <c r="B120" s="6" t="s">
        <v>133</v>
      </c>
      <c r="C120" s="58">
        <v>0.05</v>
      </c>
      <c r="D120" s="58"/>
      <c r="E120" s="58"/>
      <c r="F120" s="58"/>
      <c r="G120" s="58"/>
      <c r="H120" s="85">
        <f t="shared" si="16"/>
        <v>0.05</v>
      </c>
    </row>
    <row r="121" ht="15.75" customHeight="1">
      <c r="A121" s="102"/>
      <c r="H121" s="103">
        <f>SUM(H117:H120)</f>
        <v>1</v>
      </c>
      <c r="I121" s="104" t="str">
        <f>IF(H121&lt;&gt;1,"ERREUR - Le total doit être égal à 100%","")</f>
        <v/>
      </c>
    </row>
    <row r="122" ht="15.75" customHeight="1">
      <c r="A122" s="102"/>
    </row>
    <row r="123" ht="15.75" customHeight="1">
      <c r="C123" s="6" t="s">
        <v>124</v>
      </c>
      <c r="D123" s="6" t="s">
        <v>125</v>
      </c>
      <c r="E123" s="6" t="s">
        <v>126</v>
      </c>
      <c r="F123" s="6" t="s">
        <v>127</v>
      </c>
      <c r="G123" s="6" t="s">
        <v>128</v>
      </c>
      <c r="H123" s="6" t="s">
        <v>109</v>
      </c>
    </row>
    <row r="124" ht="15.0" customHeight="1">
      <c r="A124" s="28" t="s">
        <v>203</v>
      </c>
      <c r="B124" s="6" t="s">
        <v>130</v>
      </c>
      <c r="C124" s="58">
        <v>0.2</v>
      </c>
      <c r="D124" s="58">
        <v>0.2</v>
      </c>
      <c r="E124" s="58"/>
      <c r="F124" s="58"/>
      <c r="G124" s="58"/>
      <c r="H124" s="85">
        <f t="shared" ref="H124:H127" si="17">SUM(C124:G124)</f>
        <v>0.4</v>
      </c>
    </row>
    <row r="125" ht="15.75" customHeight="1">
      <c r="A125" s="31"/>
      <c r="B125" s="6" t="s">
        <v>131</v>
      </c>
      <c r="C125" s="58">
        <v>0.15</v>
      </c>
      <c r="D125" s="58">
        <v>0.15</v>
      </c>
      <c r="E125" s="58"/>
      <c r="F125" s="58"/>
      <c r="G125" s="58"/>
      <c r="H125" s="85">
        <f t="shared" si="17"/>
        <v>0.3</v>
      </c>
    </row>
    <row r="126" ht="15.75" customHeight="1">
      <c r="A126" s="31"/>
      <c r="B126" s="6" t="s">
        <v>132</v>
      </c>
      <c r="C126" s="58">
        <v>0.15</v>
      </c>
      <c r="D126" s="58">
        <v>0.1</v>
      </c>
      <c r="E126" s="58"/>
      <c r="F126" s="58"/>
      <c r="G126" s="58"/>
      <c r="H126" s="85">
        <f t="shared" si="17"/>
        <v>0.25</v>
      </c>
    </row>
    <row r="127" ht="15.75" customHeight="1">
      <c r="A127" s="34"/>
      <c r="B127" s="6" t="s">
        <v>133</v>
      </c>
      <c r="C127" s="58">
        <v>0.05</v>
      </c>
      <c r="D127" s="58"/>
      <c r="E127" s="58"/>
      <c r="F127" s="58"/>
      <c r="G127" s="58"/>
      <c r="H127" s="85">
        <f t="shared" si="17"/>
        <v>0.05</v>
      </c>
    </row>
    <row r="128" ht="15.75" customHeight="1">
      <c r="A128" s="102"/>
      <c r="H128" s="103">
        <f>SUM(H124:H127)</f>
        <v>1</v>
      </c>
      <c r="I128" s="104" t="str">
        <f>IF(H128&lt;&gt;1,"ERREUR - Le total doit être égal à 100%","")</f>
        <v/>
      </c>
    </row>
    <row r="129" ht="15.75" customHeight="1">
      <c r="A129" s="102"/>
    </row>
    <row r="130" ht="15.75" customHeight="1">
      <c r="C130" s="6" t="s">
        <v>124</v>
      </c>
      <c r="D130" s="6" t="s">
        <v>125</v>
      </c>
      <c r="E130" s="6" t="s">
        <v>126</v>
      </c>
      <c r="F130" s="6" t="s">
        <v>127</v>
      </c>
      <c r="G130" s="6" t="s">
        <v>128</v>
      </c>
      <c r="H130" s="6" t="s">
        <v>109</v>
      </c>
    </row>
    <row r="131" ht="15.75" customHeight="1">
      <c r="A131" s="28" t="s">
        <v>129</v>
      </c>
      <c r="B131" s="6" t="s">
        <v>130</v>
      </c>
      <c r="C131" s="58">
        <v>0.15</v>
      </c>
      <c r="D131" s="58">
        <v>0.1</v>
      </c>
      <c r="E131" s="58"/>
      <c r="F131" s="58"/>
      <c r="G131" s="58"/>
      <c r="H131" s="85">
        <f t="shared" ref="H131:H134" si="18">SUM(C131:G131)</f>
        <v>0.25</v>
      </c>
    </row>
    <row r="132" ht="15.75" customHeight="1">
      <c r="A132" s="31"/>
      <c r="B132" s="6" t="s">
        <v>131</v>
      </c>
      <c r="C132" s="58">
        <v>0.2</v>
      </c>
      <c r="D132" s="58">
        <v>0.2</v>
      </c>
      <c r="E132" s="58"/>
      <c r="F132" s="58"/>
      <c r="G132" s="58"/>
      <c r="H132" s="85">
        <f t="shared" si="18"/>
        <v>0.4</v>
      </c>
    </row>
    <row r="133" ht="15.75" customHeight="1">
      <c r="A133" s="31"/>
      <c r="B133" s="6" t="s">
        <v>132</v>
      </c>
      <c r="C133" s="58">
        <v>0.15</v>
      </c>
      <c r="D133" s="58">
        <v>0.15</v>
      </c>
      <c r="E133" s="58"/>
      <c r="F133" s="58"/>
      <c r="G133" s="58"/>
      <c r="H133" s="85">
        <f t="shared" si="18"/>
        <v>0.3</v>
      </c>
    </row>
    <row r="134" ht="15.75" customHeight="1">
      <c r="A134" s="34"/>
      <c r="B134" s="6" t="s">
        <v>133</v>
      </c>
      <c r="C134" s="58">
        <v>0.05</v>
      </c>
      <c r="D134" s="58"/>
      <c r="E134" s="58"/>
      <c r="F134" s="58"/>
      <c r="G134" s="58"/>
      <c r="H134" s="85">
        <f t="shared" si="18"/>
        <v>0.05</v>
      </c>
    </row>
    <row r="135" ht="15.75" customHeight="1">
      <c r="H135" s="103">
        <f>SUM(H131:H134)</f>
        <v>1</v>
      </c>
      <c r="I135" s="104" t="str">
        <f>IF(H135&lt;&gt;1,"ERREUR - Le total doit être égal à 100%","")</f>
        <v/>
      </c>
    </row>
    <row r="136" ht="15.75" customHeight="1"/>
    <row r="137" ht="15.75" customHeight="1">
      <c r="B137" s="97"/>
      <c r="C137" s="98" t="s">
        <v>208</v>
      </c>
    </row>
    <row r="138" ht="15.75" customHeight="1">
      <c r="B138" s="80" t="s">
        <v>130</v>
      </c>
      <c r="C138" s="99">
        <f t="shared" ref="C138:C141" si="19">(H117*$N$51+H124*$N$52+H131*$N$53)/$N$55</f>
        <v>0.3558139535</v>
      </c>
    </row>
    <row r="139" ht="15.75" customHeight="1">
      <c r="B139" s="80" t="s">
        <v>131</v>
      </c>
      <c r="C139" s="99">
        <f t="shared" si="19"/>
        <v>0.3325581395</v>
      </c>
    </row>
    <row r="140" ht="15.75" customHeight="1">
      <c r="B140" s="80" t="s">
        <v>132</v>
      </c>
      <c r="C140" s="99">
        <f t="shared" si="19"/>
        <v>0.261627907</v>
      </c>
    </row>
    <row r="141" ht="15.75" customHeight="1">
      <c r="B141" s="80" t="s">
        <v>133</v>
      </c>
      <c r="C141" s="99">
        <f t="shared" si="19"/>
        <v>0.05</v>
      </c>
    </row>
    <row r="142" ht="15.75" customHeight="1">
      <c r="C142" s="103">
        <f>SUM(C138:C141)</f>
        <v>1</v>
      </c>
    </row>
    <row r="143" ht="15.75" customHeight="1"/>
    <row r="144" ht="15.75" customHeight="1"/>
    <row r="145" ht="15.75" customHeight="1">
      <c r="A145" s="61" t="s">
        <v>211</v>
      </c>
      <c r="B145" s="4"/>
      <c r="C145" s="4"/>
      <c r="D145" s="4"/>
      <c r="E145" s="4"/>
      <c r="F145" s="4"/>
      <c r="G145" s="4"/>
      <c r="H145" s="4"/>
      <c r="I145" s="4"/>
      <c r="J145" s="4"/>
      <c r="K145" s="4"/>
      <c r="L145" s="4"/>
      <c r="M145" s="4"/>
      <c r="N145" s="4"/>
      <c r="O145" s="4"/>
      <c r="P145" s="4"/>
      <c r="Q145" s="5"/>
    </row>
    <row r="146" ht="15.75" customHeight="1"/>
    <row r="147" ht="15.75" customHeight="1">
      <c r="C147" s="80" t="s">
        <v>34</v>
      </c>
      <c r="D147" s="105">
        <f>IF(ISERROR(H163),(J180+J181)/$E$19*10000,H163/$E$19*10000)</f>
        <v>24297.93814</v>
      </c>
    </row>
    <row r="148" ht="15.75" customHeight="1">
      <c r="C148" s="80" t="s">
        <v>36</v>
      </c>
      <c r="D148" s="106">
        <f>IF(ISERROR(H163),(J180+J181)/$E$19,H163/$E$19)</f>
        <v>2.429793814</v>
      </c>
    </row>
    <row r="149" ht="15.75" customHeight="1">
      <c r="C149" s="80" t="s">
        <v>38</v>
      </c>
      <c r="D149" s="106">
        <f>IF(ISERROR(SUM(H164:H167)),J227/$E$19,SUM(H164:H167)/$E$19)</f>
        <v>2.02814433</v>
      </c>
    </row>
    <row r="150" ht="15.75" customHeight="1">
      <c r="C150" s="80" t="s">
        <v>40</v>
      </c>
      <c r="D150" s="85">
        <f>IF(ISERROR(H164),J190/$J$227,H164/SUM($H$164:$H$167))</f>
        <v>0.3609007269</v>
      </c>
    </row>
    <row r="151" ht="15.75" customHeight="1">
      <c r="C151" s="80" t="s">
        <v>42</v>
      </c>
      <c r="D151" s="85">
        <f>IF(ISERROR(H165),J207/$J$227,H165/SUM($H$164:$H$167))</f>
        <v>0.0447313577</v>
      </c>
    </row>
    <row r="152" ht="15.75" customHeight="1">
      <c r="C152" s="80" t="s">
        <v>44</v>
      </c>
      <c r="D152" s="85">
        <f>IF(ISERROR(H166),J206/$J$227,H166/SUM($H$164:$H$167))</f>
        <v>0.3462105424</v>
      </c>
    </row>
    <row r="153" ht="15.75" customHeight="1">
      <c r="C153" s="80" t="s">
        <v>46</v>
      </c>
      <c r="D153" s="85">
        <f>IF(ISERROR(H167),J226/$J$227,H167/SUM($H$164:$H$167))</f>
        <v>0.248157373</v>
      </c>
    </row>
    <row r="154" ht="15.75" customHeight="1">
      <c r="C154" s="80" t="s">
        <v>48</v>
      </c>
      <c r="D154" s="106">
        <f>IF(ISERROR(H163),(J180+J181)/J227,H163/SUM(H164:H167))</f>
        <v>1.19803792</v>
      </c>
    </row>
    <row r="155" ht="15.75" customHeight="1">
      <c r="C155" s="80" t="s">
        <v>50</v>
      </c>
      <c r="D155" s="85">
        <f>IF(ISERROR(H169),J229/J228,H169/H168)</f>
        <v>0.3246753247</v>
      </c>
    </row>
    <row r="156" ht="15.75" customHeight="1">
      <c r="C156" s="80" t="s">
        <v>52</v>
      </c>
      <c r="D156" s="105">
        <f>IF(ISERROR(H168),J228,H168)</f>
        <v>3696</v>
      </c>
    </row>
    <row r="157" ht="15.75" customHeight="1">
      <c r="C157" s="80" t="s">
        <v>212</v>
      </c>
      <c r="D157" s="105">
        <f>IF(ISERROR(H170),J230/G27,H170/G27)</f>
        <v>2496</v>
      </c>
    </row>
    <row r="158" ht="15.75" customHeight="1">
      <c r="C158" s="80" t="s">
        <v>56</v>
      </c>
      <c r="D158" s="106">
        <f>IF(ISERROR(H170),IF(B45=0,J230/SUM(C93:D93),J230/SUM(B40:B41)),IF(B45=0,H170/SUM(C93:D93),H170/SUM(B40:B41)))</f>
        <v>1.337770632</v>
      </c>
    </row>
    <row r="159" ht="15.75" customHeight="1"/>
    <row r="160" ht="15.75" customHeight="1">
      <c r="A160" s="107" t="s">
        <v>213</v>
      </c>
      <c r="B160" s="4"/>
      <c r="C160" s="4"/>
      <c r="D160" s="4"/>
      <c r="E160" s="4"/>
      <c r="F160" s="4"/>
      <c r="G160" s="4"/>
      <c r="H160" s="4"/>
      <c r="I160" s="4"/>
      <c r="J160" s="4"/>
      <c r="K160" s="4"/>
      <c r="L160" s="4"/>
      <c r="M160" s="4"/>
      <c r="N160" s="4"/>
      <c r="O160" s="4"/>
      <c r="P160" s="4"/>
      <c r="Q160" s="5"/>
    </row>
    <row r="161" ht="15.75" customHeight="1"/>
    <row r="162" ht="15.75" customHeight="1">
      <c r="D162" s="6"/>
      <c r="E162" s="6" t="s">
        <v>214</v>
      </c>
      <c r="F162" s="6" t="s">
        <v>215</v>
      </c>
      <c r="G162" s="6" t="s">
        <v>216</v>
      </c>
      <c r="H162" s="6" t="s">
        <v>217</v>
      </c>
    </row>
    <row r="163" ht="15.75" customHeight="1">
      <c r="D163" s="80" t="s">
        <v>218</v>
      </c>
      <c r="E163" s="108"/>
      <c r="F163" s="108"/>
      <c r="G163" s="108"/>
      <c r="H163" s="109" t="str">
        <f t="shared" ref="H163:H170" si="20">AVERAGE(E163:G163)</f>
        <v>#DIV/0!</v>
      </c>
    </row>
    <row r="164" ht="15.75" customHeight="1">
      <c r="D164" s="80" t="s">
        <v>219</v>
      </c>
      <c r="E164" s="108"/>
      <c r="F164" s="108"/>
      <c r="G164" s="108"/>
      <c r="H164" s="109" t="str">
        <f t="shared" si="20"/>
        <v>#DIV/0!</v>
      </c>
    </row>
    <row r="165" ht="15.75" customHeight="1">
      <c r="D165" s="80" t="s">
        <v>220</v>
      </c>
      <c r="E165" s="108"/>
      <c r="F165" s="108"/>
      <c r="G165" s="108"/>
      <c r="H165" s="109" t="str">
        <f t="shared" si="20"/>
        <v>#DIV/0!</v>
      </c>
    </row>
    <row r="166" ht="15.75" customHeight="1">
      <c r="D166" s="80" t="s">
        <v>221</v>
      </c>
      <c r="E166" s="108"/>
      <c r="F166" s="108"/>
      <c r="G166" s="108"/>
      <c r="H166" s="109" t="str">
        <f t="shared" si="20"/>
        <v>#DIV/0!</v>
      </c>
    </row>
    <row r="167" ht="15.75" customHeight="1">
      <c r="D167" s="80" t="s">
        <v>222</v>
      </c>
      <c r="E167" s="108"/>
      <c r="F167" s="108"/>
      <c r="G167" s="108"/>
      <c r="H167" s="109" t="str">
        <f t="shared" si="20"/>
        <v>#DIV/0!</v>
      </c>
    </row>
    <row r="168" ht="15.75" customHeight="1">
      <c r="D168" s="80" t="s">
        <v>223</v>
      </c>
      <c r="E168" s="108"/>
      <c r="F168" s="108"/>
      <c r="G168" s="108"/>
      <c r="H168" s="109" t="str">
        <f t="shared" si="20"/>
        <v>#DIV/0!</v>
      </c>
    </row>
    <row r="169" ht="15.75" customHeight="1">
      <c r="D169" s="80" t="s">
        <v>224</v>
      </c>
      <c r="E169" s="108"/>
      <c r="F169" s="108"/>
      <c r="G169" s="108"/>
      <c r="H169" s="109" t="str">
        <f t="shared" si="20"/>
        <v>#DIV/0!</v>
      </c>
    </row>
    <row r="170" ht="15.75" customHeight="1">
      <c r="D170" s="80" t="s">
        <v>225</v>
      </c>
      <c r="E170" s="108"/>
      <c r="F170" s="108"/>
      <c r="G170" s="108"/>
      <c r="H170" s="109" t="str">
        <f t="shared" si="20"/>
        <v>#DIV/0!</v>
      </c>
    </row>
    <row r="171" ht="15.75" customHeight="1"/>
    <row r="172" ht="15.75" customHeight="1"/>
    <row r="173" ht="15.75" customHeight="1">
      <c r="A173" s="107" t="s">
        <v>226</v>
      </c>
      <c r="B173" s="4"/>
      <c r="C173" s="4"/>
      <c r="D173" s="4"/>
      <c r="E173" s="4"/>
      <c r="F173" s="4"/>
      <c r="G173" s="4"/>
      <c r="H173" s="4"/>
      <c r="I173" s="4"/>
      <c r="J173" s="4"/>
      <c r="K173" s="4"/>
      <c r="L173" s="4"/>
      <c r="M173" s="4"/>
      <c r="N173" s="4"/>
      <c r="O173" s="4"/>
      <c r="P173" s="4"/>
      <c r="Q173" s="5"/>
    </row>
    <row r="174" ht="15.75" customHeight="1"/>
    <row r="175" ht="15.75" customHeight="1">
      <c r="A175" s="110" t="s">
        <v>227</v>
      </c>
      <c r="B175" s="46"/>
      <c r="C175" s="46"/>
      <c r="D175" s="46"/>
      <c r="E175" s="46"/>
      <c r="F175" s="47"/>
      <c r="G175" s="71" t="s">
        <v>214</v>
      </c>
      <c r="H175" s="71" t="s">
        <v>215</v>
      </c>
      <c r="I175" s="71" t="s">
        <v>216</v>
      </c>
      <c r="J175" s="71" t="s">
        <v>217</v>
      </c>
    </row>
    <row r="176" ht="15.0" customHeight="1">
      <c r="A176" s="111" t="s">
        <v>228</v>
      </c>
      <c r="B176" s="46"/>
      <c r="C176" s="46"/>
      <c r="D176" s="46"/>
      <c r="E176" s="46"/>
      <c r="F176" s="47"/>
      <c r="G176" s="112"/>
      <c r="H176" s="112"/>
      <c r="I176" s="112"/>
      <c r="J176" s="112"/>
      <c r="K176" s="113" t="s">
        <v>229</v>
      </c>
      <c r="L176" s="46"/>
      <c r="M176" s="46"/>
      <c r="N176" s="46"/>
      <c r="O176" s="46"/>
      <c r="P176" s="46"/>
      <c r="Q176" s="46"/>
      <c r="R176" s="46"/>
      <c r="S176" s="46"/>
      <c r="T176" s="46"/>
      <c r="U176" s="46"/>
      <c r="V176" s="47"/>
    </row>
    <row r="177" ht="15.75" customHeight="1">
      <c r="A177" s="114" t="s">
        <v>230</v>
      </c>
      <c r="B177" s="46"/>
      <c r="C177" s="46"/>
      <c r="D177" s="46"/>
      <c r="E177" s="46"/>
      <c r="F177" s="47"/>
      <c r="G177" s="108">
        <v>-200.0</v>
      </c>
      <c r="H177" s="108"/>
      <c r="I177" s="108"/>
      <c r="J177" s="115">
        <f t="shared" ref="J177:J183" si="21">IF(G177="","",AVERAGE(G177:I177))</f>
        <v>-200</v>
      </c>
      <c r="K177" s="116" t="s">
        <v>231</v>
      </c>
      <c r="L177" s="46"/>
      <c r="M177" s="46"/>
      <c r="N177" s="46"/>
      <c r="O177" s="46"/>
      <c r="P177" s="46"/>
      <c r="Q177" s="46"/>
      <c r="R177" s="46"/>
      <c r="S177" s="46"/>
      <c r="T177" s="46"/>
      <c r="U177" s="46"/>
      <c r="V177" s="47"/>
    </row>
    <row r="178" ht="15.75" customHeight="1">
      <c r="A178" s="114" t="s">
        <v>232</v>
      </c>
      <c r="B178" s="46"/>
      <c r="C178" s="46"/>
      <c r="D178" s="46"/>
      <c r="E178" s="46"/>
      <c r="F178" s="47"/>
      <c r="G178" s="108">
        <v>0.0</v>
      </c>
      <c r="H178" s="108"/>
      <c r="I178" s="108"/>
      <c r="J178" s="115">
        <f t="shared" si="21"/>
        <v>0</v>
      </c>
      <c r="K178" s="116" t="s">
        <v>233</v>
      </c>
      <c r="L178" s="46"/>
      <c r="M178" s="46"/>
      <c r="N178" s="46"/>
      <c r="O178" s="46"/>
      <c r="P178" s="46"/>
      <c r="Q178" s="46"/>
      <c r="R178" s="46"/>
      <c r="S178" s="46"/>
      <c r="T178" s="46"/>
      <c r="U178" s="46"/>
      <c r="V178" s="47"/>
    </row>
    <row r="179" ht="15.0" customHeight="1">
      <c r="A179" s="114" t="s">
        <v>234</v>
      </c>
      <c r="B179" s="46"/>
      <c r="C179" s="46"/>
      <c r="D179" s="46"/>
      <c r="E179" s="46"/>
      <c r="F179" s="47"/>
      <c r="G179" s="108">
        <v>0.0</v>
      </c>
      <c r="H179" s="108"/>
      <c r="I179" s="108"/>
      <c r="J179" s="115">
        <f t="shared" si="21"/>
        <v>0</v>
      </c>
      <c r="K179" s="117" t="s">
        <v>235</v>
      </c>
      <c r="L179" s="46"/>
      <c r="M179" s="46"/>
      <c r="N179" s="46"/>
      <c r="O179" s="46"/>
      <c r="P179" s="46"/>
      <c r="Q179" s="46"/>
      <c r="R179" s="46"/>
      <c r="S179" s="46"/>
      <c r="T179" s="46"/>
      <c r="U179" s="46"/>
      <c r="V179" s="47"/>
    </row>
    <row r="180" ht="15.75" customHeight="1">
      <c r="A180" s="114" t="s">
        <v>236</v>
      </c>
      <c r="B180" s="46"/>
      <c r="C180" s="46"/>
      <c r="D180" s="46"/>
      <c r="E180" s="46"/>
      <c r="F180" s="47"/>
      <c r="G180" s="108">
        <v>569.0</v>
      </c>
      <c r="H180" s="108"/>
      <c r="I180" s="108"/>
      <c r="J180" s="115">
        <f t="shared" si="21"/>
        <v>569</v>
      </c>
      <c r="K180" s="117"/>
      <c r="L180" s="46"/>
      <c r="M180" s="46"/>
      <c r="N180" s="46"/>
      <c r="O180" s="46"/>
      <c r="P180" s="46"/>
      <c r="Q180" s="46"/>
      <c r="R180" s="46"/>
      <c r="S180" s="46"/>
      <c r="T180" s="46"/>
      <c r="U180" s="46"/>
      <c r="V180" s="47"/>
    </row>
    <row r="181" ht="15.75" customHeight="1">
      <c r="A181" s="114" t="s">
        <v>237</v>
      </c>
      <c r="B181" s="46"/>
      <c r="C181" s="46"/>
      <c r="D181" s="46"/>
      <c r="E181" s="46"/>
      <c r="F181" s="47"/>
      <c r="G181" s="108">
        <v>23000.0</v>
      </c>
      <c r="H181" s="108"/>
      <c r="I181" s="108"/>
      <c r="J181" s="115">
        <f t="shared" si="21"/>
        <v>23000</v>
      </c>
      <c r="K181" s="116" t="s">
        <v>238</v>
      </c>
      <c r="L181" s="46"/>
      <c r="M181" s="46"/>
      <c r="N181" s="46"/>
      <c r="O181" s="46"/>
      <c r="P181" s="46"/>
      <c r="Q181" s="46"/>
      <c r="R181" s="46"/>
      <c r="S181" s="46"/>
      <c r="T181" s="46"/>
      <c r="U181" s="46"/>
      <c r="V181" s="47"/>
    </row>
    <row r="182" ht="15.75" customHeight="1">
      <c r="A182" s="118" t="s">
        <v>239</v>
      </c>
      <c r="B182" s="46"/>
      <c r="C182" s="46"/>
      <c r="D182" s="46"/>
      <c r="E182" s="46"/>
      <c r="F182" s="47"/>
      <c r="G182" s="115">
        <f t="shared" ref="G182:I182" si="22">IF(SUM(G177:G181)=0,"",SUM(G177:G181))</f>
        <v>23369</v>
      </c>
      <c r="H182" s="115" t="str">
        <f t="shared" si="22"/>
        <v/>
      </c>
      <c r="I182" s="115" t="str">
        <f t="shared" si="22"/>
        <v/>
      </c>
      <c r="J182" s="115">
        <f t="shared" si="21"/>
        <v>23369</v>
      </c>
      <c r="K182" s="119"/>
      <c r="L182" s="46"/>
      <c r="M182" s="46"/>
      <c r="N182" s="46"/>
      <c r="O182" s="46"/>
      <c r="P182" s="46"/>
      <c r="Q182" s="46"/>
      <c r="R182" s="46"/>
      <c r="S182" s="46"/>
      <c r="T182" s="46"/>
      <c r="U182" s="46"/>
      <c r="V182" s="47"/>
    </row>
    <row r="183" ht="15.75" customHeight="1">
      <c r="A183" s="120" t="s">
        <v>240</v>
      </c>
      <c r="B183" s="46"/>
      <c r="C183" s="46"/>
      <c r="D183" s="46"/>
      <c r="E183" s="46"/>
      <c r="F183" s="47"/>
      <c r="G183" s="121">
        <f t="shared" ref="G183:I183" si="23">IF(SUM(G177:G181)=0,"",SUM(G177:G181))</f>
        <v>23369</v>
      </c>
      <c r="H183" s="121" t="str">
        <f t="shared" si="23"/>
        <v/>
      </c>
      <c r="I183" s="121" t="str">
        <f t="shared" si="23"/>
        <v/>
      </c>
      <c r="J183" s="115">
        <f t="shared" si="21"/>
        <v>23369</v>
      </c>
      <c r="K183" s="122"/>
      <c r="L183" s="46"/>
      <c r="M183" s="46"/>
      <c r="N183" s="46"/>
      <c r="O183" s="46"/>
      <c r="P183" s="46"/>
      <c r="Q183" s="46"/>
      <c r="R183" s="46"/>
      <c r="S183" s="46"/>
      <c r="T183" s="46"/>
      <c r="U183" s="46"/>
      <c r="V183" s="47"/>
    </row>
    <row r="184" ht="15.0" customHeight="1">
      <c r="A184" s="111" t="s">
        <v>241</v>
      </c>
      <c r="B184" s="46"/>
      <c r="C184" s="46"/>
      <c r="D184" s="46"/>
      <c r="E184" s="46"/>
      <c r="F184" s="47"/>
      <c r="G184" s="112"/>
      <c r="H184" s="112"/>
      <c r="I184" s="112"/>
      <c r="J184" s="112"/>
      <c r="K184" s="113"/>
      <c r="L184" s="46"/>
      <c r="M184" s="46"/>
      <c r="N184" s="46"/>
      <c r="O184" s="46"/>
      <c r="P184" s="46"/>
      <c r="Q184" s="46"/>
      <c r="R184" s="46"/>
      <c r="S184" s="46"/>
      <c r="T184" s="46"/>
      <c r="U184" s="46"/>
      <c r="V184" s="47"/>
    </row>
    <row r="185" ht="15.75" customHeight="1">
      <c r="A185" s="114" t="s">
        <v>242</v>
      </c>
      <c r="B185" s="46"/>
      <c r="C185" s="46"/>
      <c r="D185" s="46"/>
      <c r="E185" s="46"/>
      <c r="F185" s="47"/>
      <c r="G185" s="108">
        <v>4000.0</v>
      </c>
      <c r="H185" s="108"/>
      <c r="I185" s="108"/>
      <c r="J185" s="115">
        <f t="shared" ref="J185:J191" si="24">IF(G185="","",AVERAGE(G185:I185))</f>
        <v>4000</v>
      </c>
      <c r="K185" s="116" t="s">
        <v>243</v>
      </c>
      <c r="L185" s="46"/>
      <c r="M185" s="46"/>
      <c r="N185" s="46"/>
      <c r="O185" s="46"/>
      <c r="P185" s="46"/>
      <c r="Q185" s="46"/>
      <c r="R185" s="46"/>
      <c r="S185" s="46"/>
      <c r="T185" s="46"/>
      <c r="U185" s="46"/>
      <c r="V185" s="47"/>
    </row>
    <row r="186" ht="15.75" customHeight="1">
      <c r="A186" s="114" t="s">
        <v>244</v>
      </c>
      <c r="B186" s="46"/>
      <c r="C186" s="46"/>
      <c r="D186" s="46"/>
      <c r="E186" s="46"/>
      <c r="F186" s="47"/>
      <c r="G186" s="108">
        <v>2500.0</v>
      </c>
      <c r="H186" s="108"/>
      <c r="I186" s="108"/>
      <c r="J186" s="115">
        <f t="shared" si="24"/>
        <v>2500</v>
      </c>
      <c r="K186" s="116" t="s">
        <v>243</v>
      </c>
      <c r="L186" s="46"/>
      <c r="M186" s="46"/>
      <c r="N186" s="46"/>
      <c r="O186" s="46"/>
      <c r="P186" s="46"/>
      <c r="Q186" s="46"/>
      <c r="R186" s="46"/>
      <c r="S186" s="46"/>
      <c r="T186" s="46"/>
      <c r="U186" s="46"/>
      <c r="V186" s="47"/>
    </row>
    <row r="187" ht="15.75" customHeight="1">
      <c r="A187" s="114" t="s">
        <v>245</v>
      </c>
      <c r="B187" s="46"/>
      <c r="C187" s="46"/>
      <c r="D187" s="46"/>
      <c r="E187" s="46"/>
      <c r="F187" s="47"/>
      <c r="G187" s="108">
        <v>600.0</v>
      </c>
      <c r="H187" s="108"/>
      <c r="I187" s="108"/>
      <c r="J187" s="115">
        <f t="shared" si="24"/>
        <v>600</v>
      </c>
      <c r="K187" s="116" t="s">
        <v>243</v>
      </c>
      <c r="L187" s="46"/>
      <c r="M187" s="46"/>
      <c r="N187" s="46"/>
      <c r="O187" s="46"/>
      <c r="P187" s="46"/>
      <c r="Q187" s="46"/>
      <c r="R187" s="46"/>
      <c r="S187" s="46"/>
      <c r="T187" s="46"/>
      <c r="U187" s="46"/>
      <c r="V187" s="47"/>
    </row>
    <row r="188" ht="15.75" customHeight="1">
      <c r="A188" s="114" t="s">
        <v>246</v>
      </c>
      <c r="B188" s="46"/>
      <c r="C188" s="46"/>
      <c r="D188" s="46"/>
      <c r="E188" s="46"/>
      <c r="F188" s="47"/>
      <c r="G188" s="108">
        <v>0.0</v>
      </c>
      <c r="H188" s="108"/>
      <c r="I188" s="108"/>
      <c r="J188" s="115">
        <f t="shared" si="24"/>
        <v>0</v>
      </c>
      <c r="K188" s="116" t="s">
        <v>243</v>
      </c>
      <c r="L188" s="46"/>
      <c r="M188" s="46"/>
      <c r="N188" s="46"/>
      <c r="O188" s="46"/>
      <c r="P188" s="46"/>
      <c r="Q188" s="46"/>
      <c r="R188" s="46"/>
      <c r="S188" s="46"/>
      <c r="T188" s="46"/>
      <c r="U188" s="46"/>
      <c r="V188" s="47"/>
    </row>
    <row r="189" ht="15.75" customHeight="1">
      <c r="A189" s="114" t="s">
        <v>247</v>
      </c>
      <c r="B189" s="46"/>
      <c r="C189" s="46"/>
      <c r="D189" s="46"/>
      <c r="E189" s="46"/>
      <c r="F189" s="47"/>
      <c r="G189" s="108">
        <v>0.0</v>
      </c>
      <c r="H189" s="108"/>
      <c r="I189" s="108"/>
      <c r="J189" s="115">
        <f t="shared" si="24"/>
        <v>0</v>
      </c>
      <c r="K189" s="123"/>
      <c r="L189" s="46"/>
      <c r="M189" s="46"/>
      <c r="N189" s="46"/>
      <c r="O189" s="46"/>
      <c r="P189" s="46"/>
      <c r="Q189" s="46"/>
      <c r="R189" s="46"/>
      <c r="S189" s="46"/>
      <c r="T189" s="46"/>
      <c r="U189" s="46"/>
      <c r="V189" s="47"/>
    </row>
    <row r="190" ht="15.75" customHeight="1">
      <c r="A190" s="118" t="s">
        <v>248</v>
      </c>
      <c r="B190" s="46"/>
      <c r="C190" s="46"/>
      <c r="D190" s="46"/>
      <c r="E190" s="46"/>
      <c r="F190" s="47"/>
      <c r="G190" s="115">
        <f t="shared" ref="G190:I190" si="25">IF(SUM(G185:G189)=0,"",SUM(G185:G189))</f>
        <v>7100</v>
      </c>
      <c r="H190" s="115" t="str">
        <f t="shared" si="25"/>
        <v/>
      </c>
      <c r="I190" s="115" t="str">
        <f t="shared" si="25"/>
        <v/>
      </c>
      <c r="J190" s="115">
        <f t="shared" si="24"/>
        <v>7100</v>
      </c>
      <c r="K190" s="123"/>
      <c r="L190" s="46"/>
      <c r="M190" s="46"/>
      <c r="N190" s="46"/>
      <c r="O190" s="46"/>
      <c r="P190" s="46"/>
      <c r="Q190" s="46"/>
      <c r="R190" s="46"/>
      <c r="S190" s="46"/>
      <c r="T190" s="46"/>
      <c r="U190" s="46"/>
      <c r="V190" s="47"/>
    </row>
    <row r="191" ht="15.75" customHeight="1">
      <c r="A191" s="120" t="s">
        <v>249</v>
      </c>
      <c r="B191" s="46"/>
      <c r="C191" s="46"/>
      <c r="D191" s="46"/>
      <c r="E191" s="46"/>
      <c r="F191" s="47"/>
      <c r="G191" s="121">
        <f t="shared" ref="G191:I191" si="26">IF(G183="","",G183-G190)</f>
        <v>16269</v>
      </c>
      <c r="H191" s="121" t="str">
        <f t="shared" si="26"/>
        <v/>
      </c>
      <c r="I191" s="121" t="str">
        <f t="shared" si="26"/>
        <v/>
      </c>
      <c r="J191" s="115">
        <f t="shared" si="24"/>
        <v>16269</v>
      </c>
      <c r="K191" s="122"/>
      <c r="L191" s="46"/>
      <c r="M191" s="46"/>
      <c r="N191" s="46"/>
      <c r="O191" s="46"/>
      <c r="P191" s="46"/>
      <c r="Q191" s="46"/>
      <c r="R191" s="46"/>
      <c r="S191" s="46"/>
      <c r="T191" s="46"/>
      <c r="U191" s="46"/>
      <c r="V191" s="47"/>
    </row>
    <row r="192" ht="15.0" customHeight="1">
      <c r="A192" s="111" t="s">
        <v>250</v>
      </c>
      <c r="B192" s="46"/>
      <c r="C192" s="46"/>
      <c r="D192" s="46"/>
      <c r="E192" s="46"/>
      <c r="F192" s="47"/>
      <c r="G192" s="112"/>
      <c r="H192" s="112"/>
      <c r="I192" s="112"/>
      <c r="J192" s="112"/>
      <c r="K192" s="113"/>
      <c r="L192" s="46"/>
      <c r="M192" s="46"/>
      <c r="N192" s="46"/>
      <c r="O192" s="46"/>
      <c r="P192" s="46"/>
      <c r="Q192" s="46"/>
      <c r="R192" s="46"/>
      <c r="S192" s="46"/>
      <c r="T192" s="46"/>
      <c r="U192" s="46"/>
      <c r="V192" s="47"/>
    </row>
    <row r="193" ht="15.75" customHeight="1">
      <c r="A193" s="114" t="s">
        <v>251</v>
      </c>
      <c r="B193" s="46"/>
      <c r="C193" s="46"/>
      <c r="D193" s="46"/>
      <c r="E193" s="46"/>
      <c r="F193" s="47"/>
      <c r="G193" s="108">
        <v>78.0</v>
      </c>
      <c r="H193" s="108"/>
      <c r="I193" s="108"/>
      <c r="J193" s="115">
        <f t="shared" ref="J193:J209" si="27">IF(G193="","",AVERAGE(G193:I193))</f>
        <v>78</v>
      </c>
      <c r="K193" s="123"/>
      <c r="L193" s="46"/>
      <c r="M193" s="46"/>
      <c r="N193" s="46"/>
      <c r="O193" s="46"/>
      <c r="P193" s="46"/>
      <c r="Q193" s="46"/>
      <c r="R193" s="46"/>
      <c r="S193" s="46"/>
      <c r="T193" s="46"/>
      <c r="U193" s="46"/>
      <c r="V193" s="47"/>
    </row>
    <row r="194" ht="15.75" customHeight="1">
      <c r="A194" s="114" t="s">
        <v>252</v>
      </c>
      <c r="B194" s="46"/>
      <c r="C194" s="46"/>
      <c r="D194" s="46"/>
      <c r="E194" s="46"/>
      <c r="F194" s="47"/>
      <c r="G194" s="108">
        <v>0.0</v>
      </c>
      <c r="H194" s="108"/>
      <c r="I194" s="108"/>
      <c r="J194" s="115">
        <f t="shared" si="27"/>
        <v>0</v>
      </c>
      <c r="K194" s="123"/>
      <c r="L194" s="46"/>
      <c r="M194" s="46"/>
      <c r="N194" s="46"/>
      <c r="O194" s="46"/>
      <c r="P194" s="46"/>
      <c r="Q194" s="46"/>
      <c r="R194" s="46"/>
      <c r="S194" s="46"/>
      <c r="T194" s="46"/>
      <c r="U194" s="46"/>
      <c r="V194" s="47"/>
    </row>
    <row r="195" ht="15.75" customHeight="1">
      <c r="A195" s="114" t="s">
        <v>253</v>
      </c>
      <c r="B195" s="46"/>
      <c r="C195" s="46"/>
      <c r="D195" s="46"/>
      <c r="E195" s="46"/>
      <c r="F195" s="47"/>
      <c r="G195" s="108">
        <v>360.0</v>
      </c>
      <c r="H195" s="108"/>
      <c r="I195" s="108"/>
      <c r="J195" s="115">
        <f t="shared" si="27"/>
        <v>360</v>
      </c>
      <c r="K195" s="123"/>
      <c r="L195" s="46"/>
      <c r="M195" s="46"/>
      <c r="N195" s="46"/>
      <c r="O195" s="46"/>
      <c r="P195" s="46"/>
      <c r="Q195" s="46"/>
      <c r="R195" s="46"/>
      <c r="S195" s="46"/>
      <c r="T195" s="46"/>
      <c r="U195" s="46"/>
      <c r="V195" s="47"/>
    </row>
    <row r="196" ht="15.75" customHeight="1">
      <c r="A196" s="114" t="s">
        <v>254</v>
      </c>
      <c r="B196" s="46"/>
      <c r="C196" s="46"/>
      <c r="D196" s="46"/>
      <c r="E196" s="46"/>
      <c r="F196" s="47"/>
      <c r="G196" s="108">
        <v>0.0</v>
      </c>
      <c r="H196" s="108"/>
      <c r="I196" s="108"/>
      <c r="J196" s="115">
        <f t="shared" si="27"/>
        <v>0</v>
      </c>
      <c r="K196" s="123"/>
      <c r="L196" s="46"/>
      <c r="M196" s="46"/>
      <c r="N196" s="46"/>
      <c r="O196" s="46"/>
      <c r="P196" s="46"/>
      <c r="Q196" s="46"/>
      <c r="R196" s="46"/>
      <c r="S196" s="46"/>
      <c r="T196" s="46"/>
      <c r="U196" s="46"/>
      <c r="V196" s="47"/>
    </row>
    <row r="197" ht="15.75" customHeight="1">
      <c r="A197" s="114" t="s">
        <v>255</v>
      </c>
      <c r="B197" s="46"/>
      <c r="C197" s="46"/>
      <c r="D197" s="46"/>
      <c r="E197" s="46"/>
      <c r="F197" s="47"/>
      <c r="G197" s="108">
        <v>1500.0</v>
      </c>
      <c r="H197" s="108"/>
      <c r="I197" s="108"/>
      <c r="J197" s="115">
        <f t="shared" si="27"/>
        <v>1500</v>
      </c>
      <c r="K197" s="123"/>
      <c r="L197" s="46"/>
      <c r="M197" s="46"/>
      <c r="N197" s="46"/>
      <c r="O197" s="46"/>
      <c r="P197" s="46"/>
      <c r="Q197" s="46"/>
      <c r="R197" s="46"/>
      <c r="S197" s="46"/>
      <c r="T197" s="46"/>
      <c r="U197" s="46"/>
      <c r="V197" s="47"/>
    </row>
    <row r="198" ht="15.75" customHeight="1">
      <c r="A198" s="114" t="s">
        <v>256</v>
      </c>
      <c r="B198" s="46"/>
      <c r="C198" s="46"/>
      <c r="D198" s="46"/>
      <c r="E198" s="46"/>
      <c r="F198" s="47"/>
      <c r="G198" s="108">
        <v>0.0</v>
      </c>
      <c r="H198" s="108"/>
      <c r="I198" s="108"/>
      <c r="J198" s="115">
        <f t="shared" si="27"/>
        <v>0</v>
      </c>
      <c r="K198" s="116" t="s">
        <v>257</v>
      </c>
      <c r="L198" s="46"/>
      <c r="M198" s="46"/>
      <c r="N198" s="46"/>
      <c r="O198" s="46"/>
      <c r="P198" s="46"/>
      <c r="Q198" s="46"/>
      <c r="R198" s="46"/>
      <c r="S198" s="46"/>
      <c r="T198" s="46"/>
      <c r="U198" s="46"/>
      <c r="V198" s="47"/>
    </row>
    <row r="199" ht="15.75" customHeight="1">
      <c r="A199" s="114" t="s">
        <v>258</v>
      </c>
      <c r="B199" s="46"/>
      <c r="C199" s="46"/>
      <c r="D199" s="46"/>
      <c r="E199" s="46"/>
      <c r="F199" s="47"/>
      <c r="G199" s="108">
        <v>3693.0</v>
      </c>
      <c r="H199" s="108"/>
      <c r="I199" s="108"/>
      <c r="J199" s="115">
        <f t="shared" si="27"/>
        <v>3693</v>
      </c>
      <c r="K199" s="116" t="s">
        <v>257</v>
      </c>
      <c r="L199" s="46"/>
      <c r="M199" s="46"/>
      <c r="N199" s="46"/>
      <c r="O199" s="46"/>
      <c r="P199" s="46"/>
      <c r="Q199" s="46"/>
      <c r="R199" s="46"/>
      <c r="S199" s="46"/>
      <c r="T199" s="46"/>
      <c r="U199" s="46"/>
      <c r="V199" s="47"/>
    </row>
    <row r="200" ht="15.75" customHeight="1">
      <c r="A200" s="114" t="s">
        <v>259</v>
      </c>
      <c r="B200" s="46"/>
      <c r="C200" s="46"/>
      <c r="D200" s="46"/>
      <c r="E200" s="46"/>
      <c r="F200" s="47"/>
      <c r="G200" s="108">
        <v>80.0</v>
      </c>
      <c r="H200" s="108"/>
      <c r="I200" s="108"/>
      <c r="J200" s="115">
        <f t="shared" si="27"/>
        <v>80</v>
      </c>
      <c r="K200" s="116" t="s">
        <v>260</v>
      </c>
      <c r="L200" s="46"/>
      <c r="M200" s="46"/>
      <c r="N200" s="46"/>
      <c r="O200" s="46"/>
      <c r="P200" s="46"/>
      <c r="Q200" s="46"/>
      <c r="R200" s="46"/>
      <c r="S200" s="46"/>
      <c r="T200" s="46"/>
      <c r="U200" s="46"/>
      <c r="V200" s="47"/>
    </row>
    <row r="201" ht="15.75" customHeight="1">
      <c r="A201" s="114" t="s">
        <v>261</v>
      </c>
      <c r="B201" s="46"/>
      <c r="C201" s="46"/>
      <c r="D201" s="46"/>
      <c r="E201" s="46"/>
      <c r="F201" s="47"/>
      <c r="G201" s="108">
        <v>0.0</v>
      </c>
      <c r="H201" s="108"/>
      <c r="I201" s="108"/>
      <c r="J201" s="115">
        <f t="shared" si="27"/>
        <v>0</v>
      </c>
      <c r="K201" s="123"/>
      <c r="L201" s="46"/>
      <c r="M201" s="46"/>
      <c r="N201" s="46"/>
      <c r="O201" s="46"/>
      <c r="P201" s="46"/>
      <c r="Q201" s="46"/>
      <c r="R201" s="46"/>
      <c r="S201" s="46"/>
      <c r="T201" s="46"/>
      <c r="U201" s="46"/>
      <c r="V201" s="47"/>
    </row>
    <row r="202" ht="15.75" customHeight="1">
      <c r="A202" s="114" t="s">
        <v>262</v>
      </c>
      <c r="B202" s="46"/>
      <c r="C202" s="46"/>
      <c r="D202" s="46"/>
      <c r="E202" s="46"/>
      <c r="F202" s="47"/>
      <c r="G202" s="108">
        <v>740.0</v>
      </c>
      <c r="H202" s="108"/>
      <c r="I202" s="108"/>
      <c r="J202" s="115">
        <f t="shared" si="27"/>
        <v>740</v>
      </c>
      <c r="K202" s="123"/>
      <c r="L202" s="46"/>
      <c r="M202" s="46"/>
      <c r="N202" s="46"/>
      <c r="O202" s="46"/>
      <c r="P202" s="46"/>
      <c r="Q202" s="46"/>
      <c r="R202" s="46"/>
      <c r="S202" s="46"/>
      <c r="T202" s="46"/>
      <c r="U202" s="46"/>
      <c r="V202" s="47"/>
    </row>
    <row r="203" ht="15.75" customHeight="1">
      <c r="A203" s="114" t="s">
        <v>263</v>
      </c>
      <c r="B203" s="46"/>
      <c r="C203" s="46"/>
      <c r="D203" s="46"/>
      <c r="E203" s="46"/>
      <c r="F203" s="47"/>
      <c r="G203" s="108">
        <v>0.0</v>
      </c>
      <c r="H203" s="108"/>
      <c r="I203" s="108"/>
      <c r="J203" s="115">
        <f t="shared" si="27"/>
        <v>0</v>
      </c>
      <c r="K203" s="123"/>
      <c r="L203" s="46"/>
      <c r="M203" s="46"/>
      <c r="N203" s="46"/>
      <c r="O203" s="46"/>
      <c r="P203" s="46"/>
      <c r="Q203" s="46"/>
      <c r="R203" s="46"/>
      <c r="S203" s="46"/>
      <c r="T203" s="46"/>
      <c r="U203" s="46"/>
      <c r="V203" s="47"/>
    </row>
    <row r="204" ht="15.75" customHeight="1">
      <c r="A204" s="114" t="s">
        <v>264</v>
      </c>
      <c r="B204" s="46"/>
      <c r="C204" s="46"/>
      <c r="D204" s="46"/>
      <c r="E204" s="46"/>
      <c r="F204" s="47"/>
      <c r="G204" s="108">
        <v>0.0</v>
      </c>
      <c r="H204" s="108"/>
      <c r="I204" s="108"/>
      <c r="J204" s="115">
        <f t="shared" si="27"/>
        <v>0</v>
      </c>
      <c r="K204" s="116" t="s">
        <v>265</v>
      </c>
      <c r="L204" s="46"/>
      <c r="M204" s="46"/>
      <c r="N204" s="46"/>
      <c r="O204" s="46"/>
      <c r="P204" s="46"/>
      <c r="Q204" s="46"/>
      <c r="R204" s="46"/>
      <c r="S204" s="46"/>
      <c r="T204" s="46"/>
      <c r="U204" s="46"/>
      <c r="V204" s="47"/>
    </row>
    <row r="205" ht="15.75" customHeight="1">
      <c r="A205" s="114" t="s">
        <v>266</v>
      </c>
      <c r="B205" s="46"/>
      <c r="C205" s="46"/>
      <c r="D205" s="46"/>
      <c r="E205" s="46"/>
      <c r="F205" s="47"/>
      <c r="G205" s="108">
        <v>360.0</v>
      </c>
      <c r="H205" s="108"/>
      <c r="I205" s="108"/>
      <c r="J205" s="115">
        <f t="shared" si="27"/>
        <v>360</v>
      </c>
      <c r="K205" s="123"/>
      <c r="L205" s="46"/>
      <c r="M205" s="46"/>
      <c r="N205" s="46"/>
      <c r="O205" s="46"/>
      <c r="P205" s="46"/>
      <c r="Q205" s="46"/>
      <c r="R205" s="46"/>
      <c r="S205" s="46"/>
      <c r="T205" s="46"/>
      <c r="U205" s="46"/>
      <c r="V205" s="47"/>
    </row>
    <row r="206" ht="15.75" customHeight="1">
      <c r="A206" s="118" t="s">
        <v>267</v>
      </c>
      <c r="B206" s="46"/>
      <c r="C206" s="46"/>
      <c r="D206" s="46"/>
      <c r="E206" s="46"/>
      <c r="F206" s="47"/>
      <c r="G206" s="115">
        <f t="shared" ref="G206:I206" si="28">IF(SUM(G193:G205)=0,"",SUM(G193:G205))</f>
        <v>6811</v>
      </c>
      <c r="H206" s="115" t="str">
        <f t="shared" si="28"/>
        <v/>
      </c>
      <c r="I206" s="115" t="str">
        <f t="shared" si="28"/>
        <v/>
      </c>
      <c r="J206" s="115">
        <f t="shared" si="27"/>
        <v>6811</v>
      </c>
      <c r="K206" s="123"/>
      <c r="L206" s="46"/>
      <c r="M206" s="46"/>
      <c r="N206" s="46"/>
      <c r="O206" s="46"/>
      <c r="P206" s="46"/>
      <c r="Q206" s="46"/>
      <c r="R206" s="46"/>
      <c r="S206" s="46"/>
      <c r="T206" s="46"/>
      <c r="U206" s="46"/>
      <c r="V206" s="47"/>
    </row>
    <row r="207" ht="15.75" customHeight="1">
      <c r="A207" s="124" t="s">
        <v>268</v>
      </c>
      <c r="B207" s="46"/>
      <c r="C207" s="46"/>
      <c r="D207" s="46"/>
      <c r="E207" s="46"/>
      <c r="F207" s="47"/>
      <c r="G207" s="108">
        <v>880.0</v>
      </c>
      <c r="H207" s="108"/>
      <c r="I207" s="108"/>
      <c r="J207" s="115">
        <f t="shared" si="27"/>
        <v>880</v>
      </c>
      <c r="K207" s="123"/>
      <c r="L207" s="46"/>
      <c r="M207" s="46"/>
      <c r="N207" s="46"/>
      <c r="O207" s="46"/>
      <c r="P207" s="46"/>
      <c r="Q207" s="46"/>
      <c r="R207" s="46"/>
      <c r="S207" s="46"/>
      <c r="T207" s="46"/>
      <c r="U207" s="46"/>
      <c r="V207" s="47"/>
    </row>
    <row r="208" ht="15.75" customHeight="1">
      <c r="A208" s="118" t="s">
        <v>269</v>
      </c>
      <c r="B208" s="46"/>
      <c r="C208" s="46"/>
      <c r="D208" s="46"/>
      <c r="E208" s="46"/>
      <c r="F208" s="47"/>
      <c r="G208" s="115">
        <f t="shared" ref="G208:I208" si="29">IF(G206="","",G206+G207)</f>
        <v>7691</v>
      </c>
      <c r="H208" s="115" t="str">
        <f t="shared" si="29"/>
        <v/>
      </c>
      <c r="I208" s="115" t="str">
        <f t="shared" si="29"/>
        <v/>
      </c>
      <c r="J208" s="115">
        <f t="shared" si="27"/>
        <v>7691</v>
      </c>
      <c r="K208" s="123"/>
      <c r="L208" s="46"/>
      <c r="M208" s="46"/>
      <c r="N208" s="46"/>
      <c r="O208" s="46"/>
      <c r="P208" s="46"/>
      <c r="Q208" s="46"/>
      <c r="R208" s="46"/>
      <c r="S208" s="46"/>
      <c r="T208" s="46"/>
      <c r="U208" s="46"/>
      <c r="V208" s="47"/>
    </row>
    <row r="209" ht="15.75" customHeight="1">
      <c r="A209" s="120" t="s">
        <v>270</v>
      </c>
      <c r="B209" s="46"/>
      <c r="C209" s="46"/>
      <c r="D209" s="46"/>
      <c r="E209" s="46"/>
      <c r="F209" s="47"/>
      <c r="G209" s="121">
        <f t="shared" ref="G209:I209" si="30">IF(G191="","",G191-G208)</f>
        <v>8578</v>
      </c>
      <c r="H209" s="121" t="str">
        <f t="shared" si="30"/>
        <v/>
      </c>
      <c r="I209" s="121" t="str">
        <f t="shared" si="30"/>
        <v/>
      </c>
      <c r="J209" s="121">
        <f t="shared" si="27"/>
        <v>8578</v>
      </c>
      <c r="K209" s="122"/>
      <c r="L209" s="46"/>
      <c r="M209" s="46"/>
      <c r="N209" s="46"/>
      <c r="O209" s="46"/>
      <c r="P209" s="46"/>
      <c r="Q209" s="46"/>
      <c r="R209" s="46"/>
      <c r="S209" s="46"/>
      <c r="T209" s="46"/>
      <c r="U209" s="46"/>
      <c r="V209" s="47"/>
    </row>
    <row r="210" ht="22.5" customHeight="1">
      <c r="A210" s="111" t="s">
        <v>271</v>
      </c>
      <c r="B210" s="46"/>
      <c r="C210" s="46"/>
      <c r="D210" s="46"/>
      <c r="E210" s="46"/>
      <c r="F210" s="47"/>
      <c r="G210" s="112"/>
      <c r="H210" s="112"/>
      <c r="I210" s="112"/>
      <c r="J210" s="112"/>
      <c r="K210" s="125" t="s">
        <v>272</v>
      </c>
      <c r="L210" s="46"/>
      <c r="M210" s="46"/>
      <c r="N210" s="46"/>
      <c r="O210" s="46"/>
      <c r="P210" s="46"/>
      <c r="Q210" s="46"/>
      <c r="R210" s="46"/>
      <c r="S210" s="46"/>
      <c r="T210" s="46"/>
      <c r="U210" s="46"/>
      <c r="V210" s="47"/>
    </row>
    <row r="211" ht="15.75" customHeight="1">
      <c r="A211" s="114" t="s">
        <v>273</v>
      </c>
      <c r="B211" s="46"/>
      <c r="C211" s="46"/>
      <c r="D211" s="46"/>
      <c r="E211" s="46"/>
      <c r="F211" s="47"/>
      <c r="G211" s="108">
        <v>0.0</v>
      </c>
      <c r="H211" s="108"/>
      <c r="I211" s="108"/>
      <c r="J211" s="115">
        <f t="shared" ref="J211:J233" si="31">IF(G211="","",AVERAGE(G211:I211))</f>
        <v>0</v>
      </c>
      <c r="K211" s="123"/>
      <c r="L211" s="46"/>
      <c r="M211" s="46"/>
      <c r="N211" s="46"/>
      <c r="O211" s="46"/>
      <c r="P211" s="46"/>
      <c r="Q211" s="46"/>
      <c r="R211" s="46"/>
      <c r="S211" s="46"/>
      <c r="T211" s="46"/>
      <c r="U211" s="46"/>
      <c r="V211" s="47"/>
    </row>
    <row r="212" ht="15.75" customHeight="1">
      <c r="A212" s="114" t="s">
        <v>274</v>
      </c>
      <c r="B212" s="46"/>
      <c r="C212" s="46"/>
      <c r="D212" s="46"/>
      <c r="E212" s="46"/>
      <c r="F212" s="47"/>
      <c r="G212" s="108">
        <v>260.0</v>
      </c>
      <c r="H212" s="108"/>
      <c r="I212" s="108"/>
      <c r="J212" s="115">
        <f t="shared" si="31"/>
        <v>260</v>
      </c>
      <c r="K212" s="123"/>
      <c r="L212" s="46"/>
      <c r="M212" s="46"/>
      <c r="N212" s="46"/>
      <c r="O212" s="46"/>
      <c r="P212" s="46"/>
      <c r="Q212" s="46"/>
      <c r="R212" s="46"/>
      <c r="S212" s="46"/>
      <c r="T212" s="46"/>
      <c r="U212" s="46"/>
      <c r="V212" s="47"/>
    </row>
    <row r="213" ht="15.75" customHeight="1">
      <c r="A213" s="114" t="s">
        <v>275</v>
      </c>
      <c r="B213" s="46"/>
      <c r="C213" s="46"/>
      <c r="D213" s="46"/>
      <c r="E213" s="46"/>
      <c r="F213" s="47"/>
      <c r="G213" s="108">
        <v>0.0</v>
      </c>
      <c r="H213" s="108"/>
      <c r="I213" s="108"/>
      <c r="J213" s="115">
        <f t="shared" si="31"/>
        <v>0</v>
      </c>
      <c r="K213" s="123"/>
      <c r="L213" s="46"/>
      <c r="M213" s="46"/>
      <c r="N213" s="46"/>
      <c r="O213" s="46"/>
      <c r="P213" s="46"/>
      <c r="Q213" s="46"/>
      <c r="R213" s="46"/>
      <c r="S213" s="46"/>
      <c r="T213" s="46"/>
      <c r="U213" s="46"/>
      <c r="V213" s="47"/>
    </row>
    <row r="214" ht="15.75" customHeight="1">
      <c r="A214" s="114" t="s">
        <v>276</v>
      </c>
      <c r="B214" s="46"/>
      <c r="C214" s="46"/>
      <c r="D214" s="46"/>
      <c r="E214" s="46"/>
      <c r="F214" s="47"/>
      <c r="G214" s="108">
        <v>0.0</v>
      </c>
      <c r="H214" s="108"/>
      <c r="I214" s="108"/>
      <c r="J214" s="115">
        <f t="shared" si="31"/>
        <v>0</v>
      </c>
      <c r="K214" s="123"/>
      <c r="L214" s="46"/>
      <c r="M214" s="46"/>
      <c r="N214" s="46"/>
      <c r="O214" s="46"/>
      <c r="P214" s="46"/>
      <c r="Q214" s="46"/>
      <c r="R214" s="46"/>
      <c r="S214" s="46"/>
      <c r="T214" s="46"/>
      <c r="U214" s="46"/>
      <c r="V214" s="47"/>
    </row>
    <row r="215" ht="15.75" customHeight="1">
      <c r="A215" s="114" t="s">
        <v>277</v>
      </c>
      <c r="B215" s="46"/>
      <c r="C215" s="46"/>
      <c r="D215" s="46"/>
      <c r="E215" s="46"/>
      <c r="F215" s="47"/>
      <c r="G215" s="108">
        <v>2987.0</v>
      </c>
      <c r="H215" s="108"/>
      <c r="I215" s="108"/>
      <c r="J215" s="115">
        <f t="shared" si="31"/>
        <v>2987</v>
      </c>
      <c r="K215" s="123"/>
      <c r="L215" s="46"/>
      <c r="M215" s="46"/>
      <c r="N215" s="46"/>
      <c r="O215" s="46"/>
      <c r="P215" s="46"/>
      <c r="Q215" s="46"/>
      <c r="R215" s="46"/>
      <c r="S215" s="46"/>
      <c r="T215" s="46"/>
      <c r="U215" s="46"/>
      <c r="V215" s="47"/>
    </row>
    <row r="216" ht="15.75" customHeight="1">
      <c r="A216" s="114" t="s">
        <v>278</v>
      </c>
      <c r="B216" s="46"/>
      <c r="C216" s="46"/>
      <c r="D216" s="46"/>
      <c r="E216" s="46"/>
      <c r="F216" s="47"/>
      <c r="G216" s="108">
        <v>990.0</v>
      </c>
      <c r="H216" s="108"/>
      <c r="I216" s="108"/>
      <c r="J216" s="115">
        <f t="shared" si="31"/>
        <v>990</v>
      </c>
      <c r="K216" s="123"/>
      <c r="L216" s="46"/>
      <c r="M216" s="46"/>
      <c r="N216" s="46"/>
      <c r="O216" s="46"/>
      <c r="P216" s="46"/>
      <c r="Q216" s="46"/>
      <c r="R216" s="46"/>
      <c r="S216" s="46"/>
      <c r="T216" s="46"/>
      <c r="U216" s="46"/>
      <c r="V216" s="47"/>
    </row>
    <row r="217" ht="15.75" customHeight="1">
      <c r="A217" s="114" t="s">
        <v>279</v>
      </c>
      <c r="B217" s="46"/>
      <c r="C217" s="46"/>
      <c r="D217" s="46"/>
      <c r="E217" s="46"/>
      <c r="F217" s="47"/>
      <c r="G217" s="108">
        <v>0.0</v>
      </c>
      <c r="H217" s="108"/>
      <c r="I217" s="108"/>
      <c r="J217" s="115">
        <f t="shared" si="31"/>
        <v>0</v>
      </c>
      <c r="K217" s="123"/>
      <c r="L217" s="46"/>
      <c r="M217" s="46"/>
      <c r="N217" s="46"/>
      <c r="O217" s="46"/>
      <c r="P217" s="46"/>
      <c r="Q217" s="46"/>
      <c r="R217" s="46"/>
      <c r="S217" s="46"/>
      <c r="T217" s="46"/>
      <c r="U217" s="46"/>
      <c r="V217" s="47"/>
    </row>
    <row r="218" ht="15.75" customHeight="1">
      <c r="A218" s="114" t="s">
        <v>280</v>
      </c>
      <c r="B218" s="46"/>
      <c r="C218" s="46"/>
      <c r="D218" s="46"/>
      <c r="E218" s="46"/>
      <c r="F218" s="47"/>
      <c r="G218" s="108">
        <v>566.0</v>
      </c>
      <c r="H218" s="108"/>
      <c r="I218" s="108"/>
      <c r="J218" s="115">
        <f t="shared" si="31"/>
        <v>566</v>
      </c>
      <c r="K218" s="123"/>
      <c r="L218" s="46"/>
      <c r="M218" s="46"/>
      <c r="N218" s="46"/>
      <c r="O218" s="46"/>
      <c r="P218" s="46"/>
      <c r="Q218" s="46"/>
      <c r="R218" s="46"/>
      <c r="S218" s="46"/>
      <c r="T218" s="46"/>
      <c r="U218" s="46"/>
      <c r="V218" s="47"/>
    </row>
    <row r="219" ht="15.75" customHeight="1">
      <c r="A219" s="114" t="s">
        <v>281</v>
      </c>
      <c r="B219" s="46"/>
      <c r="C219" s="46"/>
      <c r="D219" s="46"/>
      <c r="E219" s="46"/>
      <c r="F219" s="47"/>
      <c r="G219" s="108">
        <v>0.0</v>
      </c>
      <c r="H219" s="108"/>
      <c r="I219" s="108"/>
      <c r="J219" s="115">
        <f t="shared" si="31"/>
        <v>0</v>
      </c>
      <c r="K219" s="123"/>
      <c r="L219" s="46"/>
      <c r="M219" s="46"/>
      <c r="N219" s="46"/>
      <c r="O219" s="46"/>
      <c r="P219" s="46"/>
      <c r="Q219" s="46"/>
      <c r="R219" s="46"/>
      <c r="S219" s="46"/>
      <c r="T219" s="46"/>
      <c r="U219" s="46"/>
      <c r="V219" s="47"/>
    </row>
    <row r="220" ht="15.75" customHeight="1">
      <c r="A220" s="114" t="s">
        <v>282</v>
      </c>
      <c r="B220" s="46"/>
      <c r="C220" s="46"/>
      <c r="D220" s="46"/>
      <c r="E220" s="46"/>
      <c r="F220" s="47"/>
      <c r="G220" s="108">
        <v>0.0</v>
      </c>
      <c r="H220" s="108"/>
      <c r="I220" s="108"/>
      <c r="J220" s="115">
        <f t="shared" si="31"/>
        <v>0</v>
      </c>
      <c r="K220" s="123"/>
      <c r="L220" s="46"/>
      <c r="M220" s="46"/>
      <c r="N220" s="46"/>
      <c r="O220" s="46"/>
      <c r="P220" s="46"/>
      <c r="Q220" s="46"/>
      <c r="R220" s="46"/>
      <c r="S220" s="46"/>
      <c r="T220" s="46"/>
      <c r="U220" s="46"/>
      <c r="V220" s="47"/>
    </row>
    <row r="221" ht="15.75" customHeight="1">
      <c r="A221" s="114" t="s">
        <v>283</v>
      </c>
      <c r="B221" s="46"/>
      <c r="C221" s="46"/>
      <c r="D221" s="46"/>
      <c r="E221" s="46"/>
      <c r="F221" s="47"/>
      <c r="G221" s="108">
        <v>0.0</v>
      </c>
      <c r="H221" s="108"/>
      <c r="I221" s="108"/>
      <c r="J221" s="115">
        <f t="shared" si="31"/>
        <v>0</v>
      </c>
      <c r="K221" s="123"/>
      <c r="L221" s="46"/>
      <c r="M221" s="46"/>
      <c r="N221" s="46"/>
      <c r="O221" s="46"/>
      <c r="P221" s="46"/>
      <c r="Q221" s="46"/>
      <c r="R221" s="46"/>
      <c r="S221" s="46"/>
      <c r="T221" s="46"/>
      <c r="U221" s="46"/>
      <c r="V221" s="47"/>
    </row>
    <row r="222" ht="15.75" customHeight="1">
      <c r="A222" s="114" t="s">
        <v>284</v>
      </c>
      <c r="B222" s="46"/>
      <c r="C222" s="46"/>
      <c r="D222" s="46"/>
      <c r="E222" s="46"/>
      <c r="F222" s="47"/>
      <c r="G222" s="108">
        <v>79.0</v>
      </c>
      <c r="H222" s="108"/>
      <c r="I222" s="108"/>
      <c r="J222" s="115">
        <f t="shared" si="31"/>
        <v>79</v>
      </c>
      <c r="K222" s="123"/>
      <c r="L222" s="46"/>
      <c r="M222" s="46"/>
      <c r="N222" s="46"/>
      <c r="O222" s="46"/>
      <c r="P222" s="46"/>
      <c r="Q222" s="46"/>
      <c r="R222" s="46"/>
      <c r="S222" s="46"/>
      <c r="T222" s="46"/>
      <c r="U222" s="46"/>
      <c r="V222" s="47"/>
    </row>
    <row r="223" ht="15.75" customHeight="1">
      <c r="A223" s="114" t="s">
        <v>285</v>
      </c>
      <c r="B223" s="46"/>
      <c r="C223" s="46"/>
      <c r="D223" s="46"/>
      <c r="E223" s="46"/>
      <c r="F223" s="47"/>
      <c r="G223" s="108">
        <v>0.0</v>
      </c>
      <c r="H223" s="108"/>
      <c r="I223" s="108"/>
      <c r="J223" s="115">
        <f t="shared" si="31"/>
        <v>0</v>
      </c>
      <c r="K223" s="123"/>
      <c r="L223" s="46"/>
      <c r="M223" s="46"/>
      <c r="N223" s="46"/>
      <c r="O223" s="46"/>
      <c r="P223" s="46"/>
      <c r="Q223" s="46"/>
      <c r="R223" s="46"/>
      <c r="S223" s="46"/>
      <c r="T223" s="46"/>
      <c r="U223" s="46"/>
      <c r="V223" s="47"/>
    </row>
    <row r="224" ht="15.75" customHeight="1">
      <c r="A224" s="114" t="s">
        <v>286</v>
      </c>
      <c r="B224" s="46"/>
      <c r="C224" s="46"/>
      <c r="D224" s="46"/>
      <c r="E224" s="46"/>
      <c r="F224" s="47"/>
      <c r="G224" s="108">
        <v>0.0</v>
      </c>
      <c r="H224" s="108"/>
      <c r="I224" s="108"/>
      <c r="J224" s="115">
        <f t="shared" si="31"/>
        <v>0</v>
      </c>
      <c r="K224" s="123"/>
      <c r="L224" s="46"/>
      <c r="M224" s="46"/>
      <c r="N224" s="46"/>
      <c r="O224" s="46"/>
      <c r="P224" s="46"/>
      <c r="Q224" s="46"/>
      <c r="R224" s="46"/>
      <c r="S224" s="46"/>
      <c r="T224" s="46"/>
      <c r="U224" s="46"/>
      <c r="V224" s="47"/>
    </row>
    <row r="225" ht="15.75" customHeight="1">
      <c r="A225" s="114" t="s">
        <v>287</v>
      </c>
      <c r="B225" s="46"/>
      <c r="C225" s="46"/>
      <c r="D225" s="46"/>
      <c r="E225" s="46"/>
      <c r="F225" s="47"/>
      <c r="G225" s="108">
        <v>0.0</v>
      </c>
      <c r="H225" s="108"/>
      <c r="I225" s="108"/>
      <c r="J225" s="115">
        <f t="shared" si="31"/>
        <v>0</v>
      </c>
      <c r="K225" s="123"/>
      <c r="L225" s="46"/>
      <c r="M225" s="46"/>
      <c r="N225" s="46"/>
      <c r="O225" s="46"/>
      <c r="P225" s="46"/>
      <c r="Q225" s="46"/>
      <c r="R225" s="46"/>
      <c r="S225" s="46"/>
      <c r="T225" s="46"/>
      <c r="U225" s="46"/>
      <c r="V225" s="47"/>
    </row>
    <row r="226" ht="15.75" customHeight="1">
      <c r="A226" s="118" t="s">
        <v>288</v>
      </c>
      <c r="B226" s="46"/>
      <c r="C226" s="46"/>
      <c r="D226" s="46"/>
      <c r="E226" s="46"/>
      <c r="F226" s="47"/>
      <c r="G226" s="115">
        <f t="shared" ref="G226:I226" si="32">IF(SUM(G211:G225)=0,"",SUM(G211:G225))</f>
        <v>4882</v>
      </c>
      <c r="H226" s="115" t="str">
        <f t="shared" si="32"/>
        <v/>
      </c>
      <c r="I226" s="115" t="str">
        <f t="shared" si="32"/>
        <v/>
      </c>
      <c r="J226" s="115">
        <f t="shared" si="31"/>
        <v>4882</v>
      </c>
    </row>
    <row r="227" ht="15.75" customHeight="1">
      <c r="A227" s="126" t="s">
        <v>289</v>
      </c>
      <c r="B227" s="46"/>
      <c r="C227" s="46"/>
      <c r="D227" s="46"/>
      <c r="E227" s="46"/>
      <c r="F227" s="47"/>
      <c r="G227" s="121">
        <f t="shared" ref="G227:I227" si="33">IF(G190="","",G190+G208+G226)</f>
        <v>19673</v>
      </c>
      <c r="H227" s="121" t="str">
        <f t="shared" si="33"/>
        <v/>
      </c>
      <c r="I227" s="121" t="str">
        <f t="shared" si="33"/>
        <v/>
      </c>
      <c r="J227" s="121">
        <f t="shared" si="31"/>
        <v>19673</v>
      </c>
    </row>
    <row r="228" ht="15.75" customHeight="1">
      <c r="A228" s="120" t="s">
        <v>290</v>
      </c>
      <c r="B228" s="46"/>
      <c r="C228" s="46"/>
      <c r="D228" s="46"/>
      <c r="E228" s="46"/>
      <c r="F228" s="47"/>
      <c r="G228" s="127">
        <f t="shared" ref="G228:I228" si="34">IF(G209="","",G209-G226)</f>
        <v>3696</v>
      </c>
      <c r="H228" s="127" t="str">
        <f t="shared" si="34"/>
        <v/>
      </c>
      <c r="I228" s="127" t="str">
        <f t="shared" si="34"/>
        <v/>
      </c>
      <c r="J228" s="127">
        <f t="shared" si="31"/>
        <v>3696</v>
      </c>
    </row>
    <row r="229" ht="15.75" customHeight="1">
      <c r="A229" s="114" t="s">
        <v>291</v>
      </c>
      <c r="B229" s="46"/>
      <c r="C229" s="46"/>
      <c r="D229" s="46"/>
      <c r="E229" s="46"/>
      <c r="F229" s="47"/>
      <c r="G229" s="108">
        <v>1200.0</v>
      </c>
      <c r="H229" s="108"/>
      <c r="I229" s="108"/>
      <c r="J229" s="115">
        <f t="shared" si="31"/>
        <v>1200</v>
      </c>
    </row>
    <row r="230" ht="15.75" customHeight="1">
      <c r="A230" s="128" t="s">
        <v>292</v>
      </c>
      <c r="B230" s="46"/>
      <c r="C230" s="46"/>
      <c r="D230" s="46"/>
      <c r="E230" s="46"/>
      <c r="F230" s="47"/>
      <c r="G230" s="127">
        <f t="shared" ref="G230:I230" si="35">IF(G228="","",G228-G229)</f>
        <v>2496</v>
      </c>
      <c r="H230" s="127" t="str">
        <f t="shared" si="35"/>
        <v/>
      </c>
      <c r="I230" s="127" t="str">
        <f t="shared" si="35"/>
        <v/>
      </c>
      <c r="J230" s="127">
        <f t="shared" si="31"/>
        <v>2496</v>
      </c>
    </row>
    <row r="231" ht="15.75" customHeight="1">
      <c r="A231" s="129" t="s">
        <v>293</v>
      </c>
      <c r="B231" s="46"/>
      <c r="C231" s="46"/>
      <c r="D231" s="46"/>
      <c r="E231" s="46"/>
      <c r="F231" s="47"/>
      <c r="G231" s="130">
        <f t="shared" ref="G231:I231" si="36">IF(G230="","",IF($B$45=0,G230/SUM($C$93:$D$93),G230/SUM($B$40:$B$41)))</f>
        <v>1.337770632</v>
      </c>
      <c r="H231" s="130" t="str">
        <f t="shared" si="36"/>
        <v/>
      </c>
      <c r="I231" s="130" t="str">
        <f t="shared" si="36"/>
        <v/>
      </c>
      <c r="J231" s="130">
        <f t="shared" si="31"/>
        <v>1.337770632</v>
      </c>
    </row>
    <row r="232" ht="15.75" customHeight="1">
      <c r="A232" s="131" t="s">
        <v>294</v>
      </c>
      <c r="B232" s="46"/>
      <c r="C232" s="46"/>
      <c r="D232" s="46"/>
      <c r="E232" s="46"/>
      <c r="F232" s="47"/>
      <c r="G232" s="127">
        <f t="shared" ref="G232:I232" si="37">IF(G227="","",G227+G229)</f>
        <v>20873</v>
      </c>
      <c r="H232" s="127" t="str">
        <f t="shared" si="37"/>
        <v/>
      </c>
      <c r="I232" s="127" t="str">
        <f t="shared" si="37"/>
        <v/>
      </c>
      <c r="J232" s="127">
        <f t="shared" si="31"/>
        <v>20873</v>
      </c>
    </row>
    <row r="233" ht="15.75" customHeight="1">
      <c r="A233" s="131" t="s">
        <v>48</v>
      </c>
      <c r="B233" s="46"/>
      <c r="C233" s="46"/>
      <c r="D233" s="46"/>
      <c r="E233" s="46"/>
      <c r="F233" s="47"/>
      <c r="G233" s="132">
        <f t="shared" ref="G233:I233" si="38">IF(G227="","",(G180+G181)/G227)</f>
        <v>1.19803792</v>
      </c>
      <c r="H233" s="132" t="str">
        <f t="shared" si="38"/>
        <v/>
      </c>
      <c r="I233" s="132" t="str">
        <f t="shared" si="38"/>
        <v/>
      </c>
      <c r="J233" s="127">
        <f t="shared" si="31"/>
        <v>1.19803792</v>
      </c>
    </row>
    <row r="234" ht="15.75" customHeight="1">
      <c r="A234" s="133" t="s">
        <v>295</v>
      </c>
      <c r="B234" s="134"/>
      <c r="C234" s="134"/>
      <c r="D234" s="134"/>
      <c r="E234" s="134"/>
      <c r="F234" s="134"/>
      <c r="G234" s="134"/>
      <c r="H234" s="134"/>
      <c r="I234" s="134"/>
      <c r="J234" s="134"/>
      <c r="K234" s="134"/>
      <c r="L234" s="134"/>
      <c r="M234" s="135"/>
      <c r="N234" s="135"/>
      <c r="O234" s="135"/>
      <c r="P234" s="136"/>
      <c r="Q234" s="136"/>
      <c r="R234" s="136"/>
    </row>
    <row r="235" ht="15.75" customHeight="1">
      <c r="A235" s="137"/>
      <c r="B235" s="134"/>
      <c r="C235" s="134"/>
      <c r="D235" s="134"/>
      <c r="E235" s="134"/>
      <c r="F235" s="134"/>
      <c r="G235" s="134"/>
      <c r="H235" s="134"/>
      <c r="I235" s="134"/>
      <c r="J235" s="134"/>
      <c r="K235" s="134"/>
      <c r="L235" s="134"/>
      <c r="M235" s="134"/>
      <c r="N235" s="134"/>
      <c r="O235" s="134"/>
      <c r="P235" s="135"/>
      <c r="Q235" s="135"/>
      <c r="R235" s="135"/>
      <c r="S235" s="136"/>
      <c r="T235" s="136"/>
      <c r="U235" s="136"/>
    </row>
    <row r="236" ht="15.75" customHeight="1">
      <c r="A236" s="138"/>
    </row>
    <row r="237" ht="15.75" customHeight="1">
      <c r="A237" s="139"/>
    </row>
    <row r="238" ht="15.75" customHeight="1">
      <c r="A238" s="62" t="s">
        <v>144</v>
      </c>
      <c r="B238" s="4"/>
      <c r="C238" s="4"/>
      <c r="D238" s="4"/>
      <c r="E238" s="4"/>
      <c r="F238" s="4"/>
      <c r="G238" s="4"/>
      <c r="H238" s="4"/>
      <c r="I238" s="4"/>
      <c r="J238" s="4"/>
      <c r="K238" s="4"/>
      <c r="L238" s="4"/>
      <c r="M238" s="4"/>
      <c r="N238" s="4"/>
      <c r="O238" s="4"/>
      <c r="P238" s="4"/>
      <c r="Q238" s="5"/>
    </row>
    <row r="239" ht="15.75" customHeight="1"/>
    <row r="240" ht="15.75" customHeight="1">
      <c r="B240" s="11" t="s">
        <v>11</v>
      </c>
      <c r="C240" s="11" t="s">
        <v>13</v>
      </c>
      <c r="D240" s="11" t="s">
        <v>15</v>
      </c>
      <c r="E240" s="11" t="s">
        <v>17</v>
      </c>
      <c r="F240" s="11" t="s">
        <v>19</v>
      </c>
      <c r="G240" s="11" t="s">
        <v>21</v>
      </c>
      <c r="H240" s="11" t="s">
        <v>23</v>
      </c>
      <c r="I240" s="11" t="s">
        <v>25</v>
      </c>
      <c r="J240" s="11" t="s">
        <v>27</v>
      </c>
      <c r="K240" s="11" t="s">
        <v>29</v>
      </c>
      <c r="L240" s="11" t="s">
        <v>31</v>
      </c>
      <c r="M240" s="11" t="s">
        <v>33</v>
      </c>
      <c r="N240" s="11" t="s">
        <v>35</v>
      </c>
      <c r="O240" s="11" t="s">
        <v>37</v>
      </c>
      <c r="P240" s="11" t="s">
        <v>39</v>
      </c>
      <c r="Q240" s="11" t="s">
        <v>41</v>
      </c>
      <c r="R240" s="11" t="s">
        <v>43</v>
      </c>
      <c r="S240" s="11" t="s">
        <v>45</v>
      </c>
      <c r="T240" s="11" t="s">
        <v>47</v>
      </c>
      <c r="U240" s="11" t="s">
        <v>49</v>
      </c>
      <c r="V240" s="11" t="s">
        <v>51</v>
      </c>
      <c r="W240" s="11" t="s">
        <v>53</v>
      </c>
      <c r="X240" s="11" t="s">
        <v>55</v>
      </c>
    </row>
    <row r="241" ht="15.75" customHeight="1">
      <c r="B241" s="12" t="s">
        <v>12</v>
      </c>
      <c r="C241" s="12" t="s">
        <v>14</v>
      </c>
      <c r="D241" s="12" t="s">
        <v>16</v>
      </c>
      <c r="E241" s="12" t="s">
        <v>18</v>
      </c>
      <c r="F241" s="12" t="s">
        <v>20</v>
      </c>
      <c r="G241" s="12" t="s">
        <v>22</v>
      </c>
      <c r="H241" s="12" t="s">
        <v>24</v>
      </c>
      <c r="I241" s="12" t="s">
        <v>26</v>
      </c>
      <c r="J241" s="12" t="s">
        <v>28</v>
      </c>
      <c r="K241" s="12" t="s">
        <v>30</v>
      </c>
      <c r="L241" s="12" t="s">
        <v>32</v>
      </c>
      <c r="M241" s="12" t="s">
        <v>34</v>
      </c>
      <c r="N241" s="12" t="s">
        <v>36</v>
      </c>
      <c r="O241" s="12" t="s">
        <v>38</v>
      </c>
      <c r="P241" s="12" t="s">
        <v>40</v>
      </c>
      <c r="Q241" s="12" t="s">
        <v>42</v>
      </c>
      <c r="R241" s="12" t="s">
        <v>44</v>
      </c>
      <c r="S241" s="12" t="s">
        <v>46</v>
      </c>
      <c r="T241" s="12" t="s">
        <v>48</v>
      </c>
      <c r="U241" s="12" t="s">
        <v>50</v>
      </c>
      <c r="V241" s="12" t="s">
        <v>52</v>
      </c>
      <c r="W241" s="12" t="s">
        <v>54</v>
      </c>
      <c r="X241" s="12" t="s">
        <v>56</v>
      </c>
    </row>
    <row r="242" ht="15.75" customHeight="1">
      <c r="B242" s="12">
        <f>E19</f>
        <v>9700</v>
      </c>
      <c r="C242" s="140">
        <f>I19</f>
        <v>0.1237113402</v>
      </c>
      <c r="D242" s="141">
        <f>E20</f>
        <v>2.175257732</v>
      </c>
      <c r="E242" s="12">
        <f>E21</f>
        <v>21100</v>
      </c>
      <c r="F242" s="140">
        <f>I20</f>
        <v>0.1706161137</v>
      </c>
      <c r="G242" s="141">
        <f>G34</f>
        <v>1.165754888</v>
      </c>
      <c r="H242" s="142">
        <f>G35</f>
        <v>88.42609942</v>
      </c>
      <c r="I242" s="140">
        <f>C138</f>
        <v>0.3558139535</v>
      </c>
      <c r="J242" s="140">
        <f>C139</f>
        <v>0.3325581395</v>
      </c>
      <c r="K242" s="140">
        <f>C140</f>
        <v>0.261627907</v>
      </c>
      <c r="L242" s="140">
        <f>C141</f>
        <v>0.05</v>
      </c>
      <c r="M242" s="143">
        <f>D147</f>
        <v>24297.93814</v>
      </c>
      <c r="N242" s="144">
        <f>D148</f>
        <v>2.429793814</v>
      </c>
      <c r="O242" s="144">
        <f>D149</f>
        <v>2.02814433</v>
      </c>
      <c r="P242" s="140">
        <f>D150</f>
        <v>0.3609007269</v>
      </c>
      <c r="Q242" s="140">
        <f>D151</f>
        <v>0.0447313577</v>
      </c>
      <c r="R242" s="140">
        <f>D152</f>
        <v>0.3462105424</v>
      </c>
      <c r="S242" s="140">
        <f>D153</f>
        <v>0.248157373</v>
      </c>
      <c r="T242" s="144">
        <f>D154</f>
        <v>1.19803792</v>
      </c>
      <c r="U242" s="140">
        <f>D155</f>
        <v>0.3246753247</v>
      </c>
      <c r="V242" s="143">
        <f>D156</f>
        <v>3696</v>
      </c>
      <c r="W242" s="143">
        <f>D157</f>
        <v>2496</v>
      </c>
      <c r="X242" s="144">
        <f>D158</f>
        <v>1.337770632</v>
      </c>
    </row>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2">
    <mergeCell ref="A185:F185"/>
    <mergeCell ref="A186:F186"/>
    <mergeCell ref="A187:F187"/>
    <mergeCell ref="A188:F188"/>
    <mergeCell ref="A189:F189"/>
    <mergeCell ref="A190:F190"/>
    <mergeCell ref="A191:F191"/>
    <mergeCell ref="A192:F192"/>
    <mergeCell ref="A193:F193"/>
    <mergeCell ref="A194:F194"/>
    <mergeCell ref="A195:F195"/>
    <mergeCell ref="A196:F196"/>
    <mergeCell ref="A197:F197"/>
    <mergeCell ref="A198:F198"/>
    <mergeCell ref="A199:F199"/>
    <mergeCell ref="A200:F200"/>
    <mergeCell ref="A201:F201"/>
    <mergeCell ref="A202:F202"/>
    <mergeCell ref="A203:F203"/>
    <mergeCell ref="A204:F204"/>
    <mergeCell ref="A205:F205"/>
    <mergeCell ref="A206:F206"/>
    <mergeCell ref="A207:F207"/>
    <mergeCell ref="A208:F208"/>
    <mergeCell ref="A209:F209"/>
    <mergeCell ref="A210:F210"/>
    <mergeCell ref="A211:F211"/>
    <mergeCell ref="A212:F212"/>
    <mergeCell ref="A213:F213"/>
    <mergeCell ref="A214:F214"/>
    <mergeCell ref="A215:F215"/>
    <mergeCell ref="A216:F216"/>
    <mergeCell ref="A217:F217"/>
    <mergeCell ref="A218:F218"/>
    <mergeCell ref="A219:F219"/>
    <mergeCell ref="A227:F227"/>
    <mergeCell ref="A228:F228"/>
    <mergeCell ref="A229:F229"/>
    <mergeCell ref="A230:F230"/>
    <mergeCell ref="A231:F231"/>
    <mergeCell ref="A232:F232"/>
    <mergeCell ref="A233:F233"/>
    <mergeCell ref="A220:F220"/>
    <mergeCell ref="A221:F221"/>
    <mergeCell ref="A222:F222"/>
    <mergeCell ref="A223:F223"/>
    <mergeCell ref="A224:F224"/>
    <mergeCell ref="A225:F225"/>
    <mergeCell ref="A226:F226"/>
    <mergeCell ref="K193:V193"/>
    <mergeCell ref="K194:V194"/>
    <mergeCell ref="K195:V195"/>
    <mergeCell ref="K196:V196"/>
    <mergeCell ref="K197:V197"/>
    <mergeCell ref="K198:V198"/>
    <mergeCell ref="K199:V199"/>
    <mergeCell ref="K200:V200"/>
    <mergeCell ref="K201:V201"/>
    <mergeCell ref="K202:V202"/>
    <mergeCell ref="K203:V203"/>
    <mergeCell ref="K204:V204"/>
    <mergeCell ref="K205:V205"/>
    <mergeCell ref="K206:V206"/>
    <mergeCell ref="K207:V207"/>
    <mergeCell ref="K208:V208"/>
    <mergeCell ref="K209:V209"/>
    <mergeCell ref="K210:V210"/>
    <mergeCell ref="K211:V211"/>
    <mergeCell ref="K212:V212"/>
    <mergeCell ref="K213:V213"/>
    <mergeCell ref="K221:V221"/>
    <mergeCell ref="K222:V222"/>
    <mergeCell ref="K223:V223"/>
    <mergeCell ref="K224:V224"/>
    <mergeCell ref="K225:V225"/>
    <mergeCell ref="A238:Q238"/>
    <mergeCell ref="K214:V214"/>
    <mergeCell ref="K215:V215"/>
    <mergeCell ref="K216:V216"/>
    <mergeCell ref="K217:V217"/>
    <mergeCell ref="K218:V218"/>
    <mergeCell ref="K219:V219"/>
    <mergeCell ref="K220:V220"/>
    <mergeCell ref="A6:Q6"/>
    <mergeCell ref="A24:Q24"/>
    <mergeCell ref="E34:F34"/>
    <mergeCell ref="E35:F35"/>
    <mergeCell ref="A37:Q37"/>
    <mergeCell ref="A47:Q47"/>
    <mergeCell ref="B49:M49"/>
    <mergeCell ref="A60:A66"/>
    <mergeCell ref="A67:B67"/>
    <mergeCell ref="A70:A76"/>
    <mergeCell ref="A77:B77"/>
    <mergeCell ref="A80:A86"/>
    <mergeCell ref="A87:B87"/>
    <mergeCell ref="A98:Q98"/>
    <mergeCell ref="A106:Q106"/>
    <mergeCell ref="A114:Q114"/>
    <mergeCell ref="A117:A120"/>
    <mergeCell ref="A124:A127"/>
    <mergeCell ref="A131:A134"/>
    <mergeCell ref="A145:Q145"/>
    <mergeCell ref="A160:Q160"/>
    <mergeCell ref="A173:Q173"/>
    <mergeCell ref="A175:F175"/>
    <mergeCell ref="A176:F176"/>
    <mergeCell ref="K176:V176"/>
    <mergeCell ref="A177:F177"/>
    <mergeCell ref="K177:V177"/>
    <mergeCell ref="K178:V178"/>
    <mergeCell ref="A178:F178"/>
    <mergeCell ref="A179:F179"/>
    <mergeCell ref="A180:F180"/>
    <mergeCell ref="A181:F181"/>
    <mergeCell ref="A182:F182"/>
    <mergeCell ref="A183:F183"/>
    <mergeCell ref="A184:F184"/>
    <mergeCell ref="K179:V179"/>
    <mergeCell ref="K180:V180"/>
    <mergeCell ref="K181:V181"/>
    <mergeCell ref="K182:V182"/>
    <mergeCell ref="K183:V183"/>
    <mergeCell ref="K184:V184"/>
    <mergeCell ref="K185:V185"/>
    <mergeCell ref="K186:V186"/>
    <mergeCell ref="K187:V187"/>
    <mergeCell ref="K188:V188"/>
    <mergeCell ref="K189:V189"/>
    <mergeCell ref="K190:V190"/>
    <mergeCell ref="K191:V191"/>
    <mergeCell ref="K192:V192"/>
  </mergeCells>
  <conditionalFormatting sqref="C142">
    <cfRule type="cellIs" dxfId="5" priority="1" operator="equal">
      <formula>1</formula>
    </cfRule>
  </conditionalFormatting>
  <conditionalFormatting sqref="C142">
    <cfRule type="cellIs" dxfId="6" priority="2" operator="notEqual">
      <formula>1</formula>
    </cfRule>
  </conditionalFormatting>
  <conditionalFormatting sqref="H121">
    <cfRule type="cellIs" dxfId="5" priority="3" operator="equal">
      <formula>1</formula>
    </cfRule>
  </conditionalFormatting>
  <conditionalFormatting sqref="H121">
    <cfRule type="cellIs" dxfId="6" priority="4" operator="notEqual">
      <formula>1</formula>
    </cfRule>
  </conditionalFormatting>
  <conditionalFormatting sqref="H128">
    <cfRule type="cellIs" dxfId="5" priority="5" operator="equal">
      <formula>1</formula>
    </cfRule>
  </conditionalFormatting>
  <conditionalFormatting sqref="H128">
    <cfRule type="cellIs" dxfId="6" priority="6" operator="notEqual">
      <formula>1</formula>
    </cfRule>
  </conditionalFormatting>
  <conditionalFormatting sqref="H135">
    <cfRule type="cellIs" dxfId="5" priority="7" operator="equal">
      <formula>1</formula>
    </cfRule>
  </conditionalFormatting>
  <conditionalFormatting sqref="H135">
    <cfRule type="cellIs" dxfId="6" priority="8" operator="notEqual">
      <formula>1</formula>
    </cfRule>
  </conditionalFormatting>
  <dataValidations>
    <dataValidation type="list" allowBlank="1" showErrorMessage="1" sqref="C3">
      <formula1>NOTICE!$I$19:$I$20</formula1>
    </dataValidation>
  </dataValidations>
  <printOptions/>
  <pageMargins bottom="0.75" footer="0.0" header="0.0" left="0.7" right="0.7" top="0.75"/>
  <pageSetup paperSize="9" orientation="portrait"/>
  <drawing r:id="rId1"/>
  <tableParts count="1">
    <tablePart r:id="rId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c r="C1" s="78" t="s">
        <v>296</v>
      </c>
      <c r="D1" s="81" t="str">
        <f>IF(SAISIE!C3="","",SAISIE!C3)</f>
        <v>MMBio</v>
      </c>
    </row>
    <row r="3">
      <c r="A3" s="21" t="s">
        <v>159</v>
      </c>
      <c r="B3" s="4"/>
      <c r="C3" s="4"/>
      <c r="D3" s="4"/>
      <c r="E3" s="4"/>
      <c r="F3" s="4"/>
      <c r="G3" s="4"/>
      <c r="H3" s="4"/>
      <c r="I3" s="4"/>
      <c r="J3" s="4"/>
      <c r="K3" s="4"/>
      <c r="L3" s="4"/>
      <c r="M3" s="5"/>
    </row>
    <row r="5">
      <c r="A5" s="145" t="s">
        <v>11</v>
      </c>
      <c r="B5" s="146" t="s">
        <v>12</v>
      </c>
      <c r="C5" s="4"/>
      <c r="D5" s="4"/>
      <c r="E5" s="4"/>
      <c r="F5" s="4"/>
      <c r="G5" s="4"/>
      <c r="H5" s="4"/>
      <c r="I5" s="4"/>
      <c r="J5" s="4"/>
      <c r="K5" s="4"/>
      <c r="L5" s="4"/>
      <c r="M5" s="5"/>
    </row>
    <row r="6">
      <c r="B6" s="69" t="str">
        <f>if($D$1="MMBio","Référence MMBio",if($D$1="Groupe local","Référence locale","###"))</f>
        <v>Référence MMBio</v>
      </c>
      <c r="C6" s="70"/>
      <c r="D6" s="71" t="s">
        <v>5</v>
      </c>
      <c r="E6" s="71"/>
      <c r="F6" s="71" t="s">
        <v>6</v>
      </c>
      <c r="G6" s="71"/>
      <c r="H6" s="71" t="s">
        <v>7</v>
      </c>
      <c r="I6" s="71"/>
      <c r="J6" s="71" t="s">
        <v>8</v>
      </c>
      <c r="K6" s="71"/>
      <c r="L6" s="71" t="s">
        <v>9</v>
      </c>
      <c r="M6" s="6"/>
    </row>
    <row r="7">
      <c r="B7" s="34"/>
      <c r="C7" s="70"/>
      <c r="D7" s="72">
        <f t="array" ref="D7">IF($D$1="MMBio",INDEX(DATA!$A$9:$H$32,XMATCH($A5,DATA!$A$9:$A$32),XMATCH(D6,DATA!$A$9:$H$9)),IF($D$1="Groupe local",MIN(DATA!B$41:B$305),""))</f>
        <v>2370</v>
      </c>
      <c r="E7" s="72"/>
      <c r="F7" s="72">
        <f t="array" ref="F7">IF($D$1="MMBio",INDEX(DATA!$A$9:$H$32,XMATCH($A5,DATA!$A$9:$A$32),XMATCH(F6,DATA!$A$9:$H$9)),IF($D$1="Groupe local",MIN(DATA!B$41:B$305),""))</f>
        <v>4696.666667</v>
      </c>
      <c r="G7" s="72"/>
      <c r="H7" s="72">
        <f t="array" ref="H7">IF($D$1="MMBio",INDEX(DATA!$A$9:$H$32,XMATCH($A5,DATA!$A$9:$A$32),XMATCH(H6,DATA!$A$9:$H$9)),IF($D$1="Groupe local",MIN(DATA!B$41:B$305),""))</f>
        <v>6630</v>
      </c>
      <c r="I7" s="72"/>
      <c r="J7" s="72">
        <f t="array" ref="J7">IF($D$1="MMBio",INDEX(DATA!$A$9:$H$32,XMATCH($A5,DATA!$A$9:$A$32),XMATCH(J6,DATA!$A$9:$H$9)),IF($D$1="Groupe local",MIN(DATA!B$41:B$305),""))</f>
        <v>9625</v>
      </c>
      <c r="K7" s="72"/>
      <c r="L7" s="72">
        <f t="array" ref="L7">IF($D$1="MMBio",INDEX(DATA!$A$9:$H$32,XMATCH($A5,DATA!$A$9:$A$32),XMATCH(L6,DATA!$A$9:$H$9)),IF($D$1="Groupe local",MIN(DATA!B$41:B$305),""))</f>
        <v>13900</v>
      </c>
      <c r="M7" s="6"/>
    </row>
    <row r="8">
      <c r="B8" s="73" t="s">
        <v>155</v>
      </c>
      <c r="C8" s="74" t="str">
        <f>IF(SAISIE!$E$19&lt;D7,SAISIE!$E$19,"")</f>
        <v/>
      </c>
      <c r="D8" s="74" t="str">
        <f>IF(SAISIE!$E$19=D7,SAISIE!$E$19,"")</f>
        <v/>
      </c>
      <c r="E8" s="74" t="str">
        <f>IF(AND(SAISIE!$E$19&gt;D7,SAISIE!$E$19&lt;F7),SAISIE!$E$19,"")</f>
        <v/>
      </c>
      <c r="F8" s="74" t="str">
        <f>IF(SAISIE!$E$19=F7,SAISIE!$E$19,"")</f>
        <v/>
      </c>
      <c r="G8" s="74" t="str">
        <f>IF(AND(SAISIE!$E$19&gt;F7,SAISIE!$E$19&lt;H7),SAISIE!$E$19,"")</f>
        <v/>
      </c>
      <c r="H8" s="74" t="str">
        <f>IF(SAISIE!$E$19=H7,SAISIE!$E$19,"")</f>
        <v/>
      </c>
      <c r="I8" s="74" t="str">
        <f>IF(AND(SAISIE!$E$19&gt;H7,SAISIE!$E$19&lt;J7),SAISIE!$E$19,"")</f>
        <v/>
      </c>
      <c r="J8" s="74" t="str">
        <f>IF(SAISIE!$E$19=J7,SAISIE!$E$19,"")</f>
        <v/>
      </c>
      <c r="K8" s="74">
        <f>IF(AND(SAISIE!$E$19&gt;J7,SAISIE!$E$19&lt;L7),SAISIE!$E$19,"")</f>
        <v>9700</v>
      </c>
      <c r="L8" s="74" t="str">
        <f>IF(SAISIE!$E$19=L7,SAISIE!$E$19,"")</f>
        <v/>
      </c>
      <c r="M8" s="74" t="str">
        <f>IF(SAISIE!$E$19&gt;L7,SAISIE!$E$19,"")</f>
        <v/>
      </c>
    </row>
    <row r="10">
      <c r="A10" s="145" t="s">
        <v>13</v>
      </c>
      <c r="B10" s="146" t="s">
        <v>14</v>
      </c>
      <c r="C10" s="4"/>
      <c r="D10" s="4"/>
      <c r="E10" s="4"/>
      <c r="F10" s="4"/>
      <c r="G10" s="4"/>
      <c r="H10" s="4"/>
      <c r="I10" s="4"/>
      <c r="J10" s="4"/>
      <c r="K10" s="4"/>
      <c r="L10" s="4"/>
      <c r="M10" s="5"/>
    </row>
    <row r="11">
      <c r="B11" s="69" t="str">
        <f>if($D$1="MMBio","Référence MMBio",if($D$1="Groupe local","Référence locale","###"))</f>
        <v>Référence MMBio</v>
      </c>
      <c r="C11" s="70"/>
      <c r="D11" s="71" t="s">
        <v>5</v>
      </c>
      <c r="E11" s="71"/>
      <c r="F11" s="71" t="s">
        <v>6</v>
      </c>
      <c r="G11" s="71"/>
      <c r="H11" s="71" t="s">
        <v>7</v>
      </c>
      <c r="I11" s="71"/>
      <c r="J11" s="71" t="s">
        <v>8</v>
      </c>
      <c r="K11" s="71"/>
      <c r="L11" s="71" t="s">
        <v>9</v>
      </c>
      <c r="M11" s="6"/>
    </row>
    <row r="12">
      <c r="B12" s="34"/>
      <c r="C12" s="70"/>
      <c r="D12" s="147">
        <f t="array" ref="D12">IF($D$1="MMBio",INDEX(DATA!$A$9:$H$32,XMATCH($A10,DATA!$A$9:$A$32),XMATCH(D11,DATA!$A$9:$H$9)),IF($D$1="Groupe local",MIN(DATA!C$41:C$305),""))</f>
        <v>0.01185770751</v>
      </c>
      <c r="E12" s="147"/>
      <c r="F12" s="147">
        <f t="array" ref="F12">IF($D$1="MMBio",INDEX(DATA!$A$9:$H$32,XMATCH($A10,DATA!$A$9:$A$32),XMATCH(F11,DATA!$A$9:$H$9)),IF($D$1="Groupe local",MIN(DATA!C$41:C$305),""))</f>
        <v>0.09773991162</v>
      </c>
      <c r="G12" s="147"/>
      <c r="H12" s="147">
        <f t="array" ref="H12">IF($D$1="MMBio",INDEX(DATA!$A$9:$H$32,XMATCH($A10,DATA!$A$9:$A$32),XMATCH(H11,DATA!$A$9:$H$9)),IF($D$1="Groupe local",MIN(DATA!C$41:C$305),""))</f>
        <v>0.1580674937</v>
      </c>
      <c r="I12" s="147"/>
      <c r="J12" s="147">
        <f t="array" ref="J12">IF($D$1="MMBio",INDEX(DATA!$A$9:$H$32,XMATCH($A10,DATA!$A$9:$A$32),XMATCH(J11,DATA!$A$9:$H$9)),IF($D$1="Groupe local",MIN(DATA!C$41:C$305),""))</f>
        <v>0.20774359</v>
      </c>
      <c r="K12" s="147"/>
      <c r="L12" s="147">
        <f t="array" ref="L12">IF($D$1="MMBio",INDEX(DATA!$A$9:$H$32,XMATCH($A10,DATA!$A$9:$A$32),XMATCH(L11,DATA!$A$9:$H$9)),IF($D$1="Groupe local",MIN(DATA!C$41:C$305),""))</f>
        <v>0.6</v>
      </c>
      <c r="M12" s="6"/>
    </row>
    <row r="13">
      <c r="B13" s="73" t="s">
        <v>155</v>
      </c>
      <c r="C13" s="148" t="str">
        <f>IF(SAISIE!$I$19&lt;D12,SAISIE!$I$19,"")</f>
        <v/>
      </c>
      <c r="D13" s="148" t="str">
        <f>IF(SAISIE!$I$19=D12,SAISIE!$I$19,"")</f>
        <v/>
      </c>
      <c r="E13" s="148" t="str">
        <f>IF(AND(SAISIE!$I$19&gt;D12,SAISIE!$I$19&lt;F12),SAISIE!$I$19,"")</f>
        <v/>
      </c>
      <c r="F13" s="148" t="str">
        <f>IF(SAISIE!$I$19=F12,SAISIE!$I$19,"")</f>
        <v/>
      </c>
      <c r="G13" s="148">
        <f>IF(AND(SAISIE!$I$19&gt;F12,SAISIE!$I$19&lt;H12),SAISIE!$I$19,"")</f>
        <v>0.1237113402</v>
      </c>
      <c r="H13" s="148" t="str">
        <f>IF(SAISIE!$I$19=H12,SAISIE!$I$19,"")</f>
        <v/>
      </c>
      <c r="I13" s="148" t="str">
        <f>IF(AND(SAISIE!$I$19&gt;H12,SAISIE!$I$19&lt;J12),SAISIE!$I$19,"")</f>
        <v/>
      </c>
      <c r="J13" s="148" t="str">
        <f>IF(SAISIE!$I$19=J12,SAISIE!$I$19,"")</f>
        <v/>
      </c>
      <c r="K13" s="148" t="str">
        <f>IF(AND(SAISIE!$I$19&gt;J12,SAISIE!$I$19&lt;L12),SAISIE!$I$19,"")</f>
        <v/>
      </c>
      <c r="L13" s="148" t="str">
        <f>IF(SAISIE!$I$19=L12,SAISIE!$I$19,"")</f>
        <v/>
      </c>
      <c r="M13" s="148" t="str">
        <f>IF(SAISIE!$I$19&gt;L12,SAISIE!$I$19,"")</f>
        <v/>
      </c>
    </row>
    <row r="15">
      <c r="A15" s="145" t="s">
        <v>15</v>
      </c>
      <c r="B15" s="146" t="s">
        <v>16</v>
      </c>
      <c r="C15" s="4"/>
      <c r="D15" s="4"/>
      <c r="E15" s="4"/>
      <c r="F15" s="4"/>
      <c r="G15" s="4"/>
      <c r="H15" s="4"/>
      <c r="I15" s="4"/>
      <c r="J15" s="4"/>
      <c r="K15" s="4"/>
      <c r="L15" s="4"/>
      <c r="M15" s="5"/>
    </row>
    <row r="16">
      <c r="B16" s="69" t="str">
        <f>if($D$1="MMBio","Référence MMBio",if($D$1="Groupe local","Référence locale","###"))</f>
        <v>Référence MMBio</v>
      </c>
      <c r="C16" s="70"/>
      <c r="D16" s="71" t="s">
        <v>5</v>
      </c>
      <c r="E16" s="71"/>
      <c r="F16" s="71" t="s">
        <v>6</v>
      </c>
      <c r="G16" s="71"/>
      <c r="H16" s="71" t="s">
        <v>7</v>
      </c>
      <c r="I16" s="71"/>
      <c r="J16" s="71" t="s">
        <v>8</v>
      </c>
      <c r="K16" s="71"/>
      <c r="L16" s="71" t="s">
        <v>9</v>
      </c>
      <c r="M16" s="6"/>
    </row>
    <row r="17">
      <c r="B17" s="34"/>
      <c r="C17" s="70"/>
      <c r="D17" s="149">
        <f t="array" ref="D17">IF($D$1="MMBio",INDEX(DATA!$A$9:$H$32,XMATCH($A15,DATA!$A$9:$A$32),XMATCH(D16,DATA!$A$9:$H$9)),IF($D$1="Groupe local",MIN(DATA!$D$41:$D$305),""))</f>
        <v>1.063224916</v>
      </c>
      <c r="E17" s="149"/>
      <c r="F17" s="149">
        <f t="array" ref="F17">IF($D$1="MMBio",INDEX(DATA!$A$9:$H$32,XMATCH($A15,DATA!$A$9:$A$32),XMATCH(F16,DATA!$A$9:$H$9)),IF($D$1="Groupe local",MIN(DATA!$D$41:$D$305),""))</f>
        <v>1.286348743</v>
      </c>
      <c r="G17" s="149"/>
      <c r="H17" s="149">
        <f t="array" ref="H17">IF($D$1="MMBio",INDEX(DATA!$A$9:$H$32,XMATCH($A15,DATA!$A$9:$A$32),XMATCH(H16,DATA!$A$9:$H$9)),IF($D$1="Groupe local",MIN(DATA!$D$41:$D$305),""))</f>
        <v>1.569689563</v>
      </c>
      <c r="I17" s="149"/>
      <c r="J17" s="149">
        <f t="array" ref="J17">IF($D$1="MMBio",INDEX(DATA!$A$9:$H$32,XMATCH($A15,DATA!$A$9:$A$32),XMATCH(J16,DATA!$A$9:$H$9)),IF($D$1="Groupe local",MIN(DATA!$D$41:$D$305),""))</f>
        <v>1.959215603</v>
      </c>
      <c r="K17" s="149"/>
      <c r="L17" s="149">
        <f t="array" ref="L17">IF($D$1="MMBio",INDEX(DATA!$A$9:$H$32,XMATCH($A15,DATA!$A$9:$A$32),XMATCH(L16,DATA!$A$9:$H$9)),IF($D$1="Groupe local",MIN(DATA!$D$41:$D$305),""))</f>
        <v>2.573839662</v>
      </c>
      <c r="M17" s="6"/>
    </row>
    <row r="18">
      <c r="B18" s="73" t="s">
        <v>155</v>
      </c>
      <c r="C18" s="74" t="str">
        <f>IF(SAISIE!$E$20&lt;D17,SAISIE!$E$20,"")</f>
        <v/>
      </c>
      <c r="D18" s="74" t="str">
        <f>IF(SAISIE!$E$20=D17,SAISIE!$E$20,"")</f>
        <v/>
      </c>
      <c r="E18" s="74" t="str">
        <f>IF(AND(SAISIE!$E$20&gt;D17,SAISIE!$E$20&lt;F17),SAISIE!$E$20,"")</f>
        <v/>
      </c>
      <c r="F18" s="74" t="str">
        <f>IF(SAISIE!$E$20=F17,SAISIE!$E$20,"")</f>
        <v/>
      </c>
      <c r="G18" s="74" t="str">
        <f>IF(AND(SAISIE!$E$20&gt;F17,SAISIE!$E$20&lt;H17),SAISIE!$E$20,"")</f>
        <v/>
      </c>
      <c r="H18" s="74" t="str">
        <f>IF(SAISIE!$E$20=H17,SAISIE!$E$20,"")</f>
        <v/>
      </c>
      <c r="I18" s="74" t="str">
        <f>IF(AND(SAISIE!$E$20&gt;H17,SAISIE!$E$20&lt;J17),SAISIE!$E$20,"")</f>
        <v/>
      </c>
      <c r="J18" s="74" t="str">
        <f>IF(SAISIE!$E$20=J17,SAISIE!$E$20,"")</f>
        <v/>
      </c>
      <c r="K18" s="150">
        <f>IF(AND(SAISIE!$E$20&gt;J17,SAISIE!$E$20&lt;L17),SAISIE!$E$20,"")</f>
        <v>2.175257732</v>
      </c>
      <c r="L18" s="74" t="str">
        <f>IF(SAISIE!$E$20=L17,SAISIE!$E$20,"")</f>
        <v/>
      </c>
      <c r="M18" s="74" t="str">
        <f>IF(SAISIE!$E$20&gt;L17,SAISIE!$E$20,"")</f>
        <v/>
      </c>
    </row>
    <row r="20">
      <c r="A20" s="145" t="s">
        <v>17</v>
      </c>
      <c r="B20" s="146" t="s">
        <v>18</v>
      </c>
      <c r="C20" s="4"/>
      <c r="D20" s="4"/>
      <c r="E20" s="4"/>
      <c r="F20" s="4"/>
      <c r="G20" s="4"/>
      <c r="H20" s="4"/>
      <c r="I20" s="4"/>
      <c r="J20" s="4"/>
      <c r="K20" s="4"/>
      <c r="L20" s="4"/>
      <c r="M20" s="5"/>
    </row>
    <row r="21" ht="15.75" customHeight="1">
      <c r="B21" s="69" t="str">
        <f>if($D$1="MMBio","Référence MMBio",if($D$1="Groupe local","Référence locale","###"))</f>
        <v>Référence MMBio</v>
      </c>
      <c r="C21" s="70"/>
      <c r="D21" s="71" t="s">
        <v>5</v>
      </c>
      <c r="E21" s="71"/>
      <c r="F21" s="71" t="s">
        <v>6</v>
      </c>
      <c r="G21" s="71"/>
      <c r="H21" s="71" t="s">
        <v>7</v>
      </c>
      <c r="I21" s="71"/>
      <c r="J21" s="71" t="s">
        <v>8</v>
      </c>
      <c r="K21" s="71"/>
      <c r="L21" s="71" t="s">
        <v>9</v>
      </c>
      <c r="M21" s="6"/>
    </row>
    <row r="22" ht="15.75" customHeight="1">
      <c r="B22" s="34"/>
      <c r="C22" s="70"/>
      <c r="D22" s="72">
        <f t="array" ref="D22">IF($D$1="MMBio",INDEX(DATA!$A$9:$H$32,XMATCH($A20,DATA!$A$9:$A$32),XMATCH(D21,DATA!$A$9:$H$9)),IF($D$1="Groupe local",MIN(DATA!$E$41:$E$305),""))</f>
        <v>5232.386667</v>
      </c>
      <c r="E22" s="72"/>
      <c r="F22" s="72">
        <f t="array" ref="F22">IF($D$1="MMBio",INDEX(DATA!$A$9:$H$32,XMATCH($A20,DATA!$A$9:$A$32),XMATCH(F21,DATA!$A$9:$H$9)),IF($D$1="Groupe local",MIN(DATA!$E$41:$E$305),""))</f>
        <v>6868.75</v>
      </c>
      <c r="G22" s="72"/>
      <c r="H22" s="72">
        <f t="array" ref="H22">IF($D$1="MMBio",INDEX(DATA!$A$9:$H$32,XMATCH($A20,DATA!$A$9:$A$32),XMATCH(H21,DATA!$A$9:$H$9)),IF($D$1="Groupe local",MIN(DATA!$E$41:$E$305),""))</f>
        <v>10389.5</v>
      </c>
      <c r="I22" s="72"/>
      <c r="J22" s="72">
        <f t="array" ref="J22">IF($D$1="MMBio",INDEX(DATA!$A$9:$H$32,XMATCH($A20,DATA!$A$9:$A$32),XMATCH(J21,DATA!$A$9:$H$9)),IF($D$1="Groupe local",MIN(DATA!$E$41:$E$305),""))</f>
        <v>13568.75</v>
      </c>
      <c r="K22" s="72"/>
      <c r="L22" s="72">
        <f t="array" ref="L22">IF($D$1="MMBio",INDEX(DATA!$A$9:$H$32,XMATCH($A20,DATA!$A$9:$A$32),XMATCH(L21,DATA!$A$9:$H$9)),IF($D$1="Groupe local",MIN(DATA!$E$41:$E$305),""))</f>
        <v>23233.33333</v>
      </c>
      <c r="M22" s="6"/>
    </row>
    <row r="23" ht="15.75" customHeight="1">
      <c r="B23" s="73" t="s">
        <v>155</v>
      </c>
      <c r="C23" s="74" t="str">
        <f>IF(SAISIE!$E$21&lt;D22,SAISIE!$E$21,"")</f>
        <v/>
      </c>
      <c r="D23" s="74" t="str">
        <f>IF(SAISIE!$E$21=D22,SAISIE!$E$21,"")</f>
        <v/>
      </c>
      <c r="E23" s="74" t="str">
        <f>IF(AND(SAISIE!$E$21&gt;D22,SAISIE!$E$21&lt;F22),SAISIE!$E$21,"")</f>
        <v/>
      </c>
      <c r="F23" s="74" t="str">
        <f>IF(SAISIE!$E$21=F22,SAISIE!$E$21,"")</f>
        <v/>
      </c>
      <c r="G23" s="74" t="str">
        <f>IF(AND(SAISIE!$E$21&gt;F22,SAISIE!$E$21&lt;H22),SAISIE!$E$21,"")</f>
        <v/>
      </c>
      <c r="H23" s="74" t="str">
        <f>IF(SAISIE!$E$21=H22,SAISIE!$E$21,"")</f>
        <v/>
      </c>
      <c r="I23" s="74" t="str">
        <f>IF(AND(SAISIE!$E$21&gt;H22,SAISIE!$E$21&lt;J22),SAISIE!$E$21,"")</f>
        <v/>
      </c>
      <c r="J23" s="74" t="str">
        <f>IF(SAISIE!$E$21=J22,SAISIE!$E$21,"")</f>
        <v/>
      </c>
      <c r="K23" s="74">
        <f>IF(AND(SAISIE!$E$21&gt;J22,SAISIE!$E$21&lt;L22),SAISIE!$E$21,"")</f>
        <v>21100</v>
      </c>
      <c r="L23" s="74" t="str">
        <f>IF(SAISIE!$E$21=L22,SAISIE!$E$21,"")</f>
        <v/>
      </c>
      <c r="M23" s="74" t="str">
        <f>IF(SAISIE!$E$21&gt;L22,SAISIE!$E$21,"")</f>
        <v/>
      </c>
    </row>
    <row r="24" ht="15.75" customHeight="1"/>
    <row r="25" ht="15.75" customHeight="1">
      <c r="A25" s="145" t="s">
        <v>19</v>
      </c>
      <c r="B25" s="146" t="s">
        <v>20</v>
      </c>
      <c r="C25" s="4"/>
      <c r="D25" s="4"/>
      <c r="E25" s="4"/>
      <c r="F25" s="4"/>
      <c r="G25" s="4"/>
      <c r="H25" s="4"/>
      <c r="I25" s="4"/>
      <c r="J25" s="4"/>
      <c r="K25" s="4"/>
      <c r="L25" s="4"/>
      <c r="M25" s="5"/>
    </row>
    <row r="26" ht="15.75" customHeight="1">
      <c r="B26" s="69" t="str">
        <f>if($D$1="MMBio","Référence MMBio",if($D$1="Groupe local","Référence locale","###"))</f>
        <v>Référence MMBio</v>
      </c>
      <c r="C26" s="70"/>
      <c r="D26" s="71" t="s">
        <v>5</v>
      </c>
      <c r="E26" s="71"/>
      <c r="F26" s="71" t="s">
        <v>6</v>
      </c>
      <c r="G26" s="71"/>
      <c r="H26" s="71" t="s">
        <v>7</v>
      </c>
      <c r="I26" s="71"/>
      <c r="J26" s="71" t="s">
        <v>8</v>
      </c>
      <c r="K26" s="71"/>
      <c r="L26" s="71" t="s">
        <v>9</v>
      </c>
      <c r="M26" s="6"/>
    </row>
    <row r="27" ht="15.75" customHeight="1">
      <c r="B27" s="34"/>
      <c r="C27" s="70"/>
      <c r="D27" s="147">
        <f t="array" ref="D27">IF($D$1="MMBio",INDEX(DATA!$A$9:$H$32,XMATCH($A25,DATA!$A$9:$A$32),XMATCH(D26,DATA!$A$9:$H$9)),IF($D$1="Groupe local",MIN(DATA!$F$41:$F$305),""))</f>
        <v>0.02152641879</v>
      </c>
      <c r="E27" s="147"/>
      <c r="F27" s="147">
        <f t="array" ref="F27">IF($D$1="MMBio",INDEX(DATA!$A$9:$H$32,XMATCH($A25,DATA!$A$9:$A$32),XMATCH(F26,DATA!$A$9:$H$9)),IF($D$1="Groupe local",MIN(DATA!$F$41:$F$305),""))</f>
        <v>0.1477983843</v>
      </c>
      <c r="G27" s="147"/>
      <c r="H27" s="147">
        <f t="array" ref="H27">IF($D$1="MMBio",INDEX(DATA!$A$9:$H$32,XMATCH($A25,DATA!$A$9:$A$32),XMATCH(H26,DATA!$A$9:$H$9)),IF($D$1="Groupe local",MIN(DATA!$F$41:$F$305),""))</f>
        <v>0.2326262826</v>
      </c>
      <c r="I27" s="147"/>
      <c r="J27" s="147">
        <f t="array" ref="J27">IF($D$1="MMBio",INDEX(DATA!$A$9:$H$32,XMATCH($A25,DATA!$A$9:$A$32),XMATCH(J26,DATA!$A$9:$H$9)),IF($D$1="Groupe local",MIN(DATA!$F$41:$F$305),""))</f>
        <v>0.295484955</v>
      </c>
      <c r="K27" s="147"/>
      <c r="L27" s="147">
        <f t="array" ref="L27">IF($D$1="MMBio",INDEX(DATA!$A$9:$H$32,XMATCH($A25,DATA!$A$9:$A$32),XMATCH(L26,DATA!$A$9:$H$9)),IF($D$1="Groupe local",MIN(DATA!$F$41:$F$305),""))</f>
        <v>0.6</v>
      </c>
      <c r="M27" s="6"/>
    </row>
    <row r="28" ht="15.75" customHeight="1">
      <c r="B28" s="73" t="s">
        <v>155</v>
      </c>
      <c r="C28" s="148" t="str">
        <f>IF(SAISIE!$I$20&lt;D27,SAISIE!$I$20,"")</f>
        <v/>
      </c>
      <c r="D28" s="148" t="str">
        <f>IF(SAISIE!$I$20=D27,SAISIE!$I$20,"")</f>
        <v/>
      </c>
      <c r="E28" s="148" t="str">
        <f>IF(AND(SAISIE!$I$20&gt;D27,SAISIE!$I$20&lt;F27),SAISIE!$I$20,"")</f>
        <v/>
      </c>
      <c r="F28" s="148" t="str">
        <f>IF(SAISIE!$I$20=F27,SAISIE!$I$20,"")</f>
        <v/>
      </c>
      <c r="G28" s="148">
        <f>IF(AND(SAISIE!$I$20&gt;F27,SAISIE!$I$20&lt;H27),SAISIE!$I$20,"")</f>
        <v>0.1706161137</v>
      </c>
      <c r="H28" s="148" t="str">
        <f>IF(SAISIE!$I$20=H27,SAISIE!$I$20,"")</f>
        <v/>
      </c>
      <c r="I28" s="148" t="str">
        <f>IF(AND(SAISIE!$I$20&gt;H27,SAISIE!$I$20&lt;J27),SAISIE!$I$20,"")</f>
        <v/>
      </c>
      <c r="J28" s="148" t="str">
        <f>IF(SAISIE!$I$20=J27,SAISIE!$I$20,"")</f>
        <v/>
      </c>
      <c r="K28" s="148" t="str">
        <f>IF(AND(SAISIE!$I$20&gt;J27,SAISIE!$I$20&lt;L27),SAISIE!$I$20,"")</f>
        <v/>
      </c>
      <c r="L28" s="148" t="str">
        <f>IF(SAISIE!$I$20=L27,SAISIE!$I$20,"")</f>
        <v/>
      </c>
      <c r="M28" s="148" t="str">
        <f>IF(SAISIE!$I$20&gt;L27,SAISIE!$I$20,"")</f>
        <v/>
      </c>
    </row>
    <row r="29" ht="15.75" customHeight="1"/>
    <row r="30" ht="15.75" customHeight="1"/>
    <row r="31" ht="15.75" customHeight="1"/>
    <row r="32" ht="15.75" customHeight="1">
      <c r="A32" s="42" t="s">
        <v>297</v>
      </c>
      <c r="B32" s="4"/>
      <c r="C32" s="4"/>
      <c r="D32" s="4"/>
      <c r="E32" s="4"/>
      <c r="F32" s="4"/>
      <c r="G32" s="4"/>
      <c r="H32" s="4"/>
      <c r="I32" s="4"/>
      <c r="J32" s="4"/>
      <c r="K32" s="4"/>
      <c r="L32" s="4"/>
      <c r="M32" s="5"/>
    </row>
    <row r="33" ht="15.75" customHeight="1"/>
    <row r="34" ht="15.75" customHeight="1">
      <c r="A34" s="151" t="s">
        <v>21</v>
      </c>
      <c r="B34" s="152" t="s">
        <v>22</v>
      </c>
      <c r="C34" s="153"/>
      <c r="D34" s="153"/>
      <c r="E34" s="153"/>
      <c r="F34" s="153"/>
      <c r="G34" s="153"/>
      <c r="H34" s="153"/>
      <c r="I34" s="153"/>
      <c r="J34" s="153"/>
      <c r="K34" s="153"/>
      <c r="L34" s="153"/>
      <c r="M34" s="154"/>
    </row>
    <row r="35" ht="15.75" customHeight="1">
      <c r="B35" s="69" t="str">
        <f>if($D$1="MMBio","Référence MMBio",if($D$1="Groupe local","Référence locale","###"))</f>
        <v>Référence MMBio</v>
      </c>
      <c r="C35" s="70"/>
      <c r="D35" s="71" t="s">
        <v>5</v>
      </c>
      <c r="E35" s="71"/>
      <c r="F35" s="71" t="s">
        <v>6</v>
      </c>
      <c r="G35" s="71"/>
      <c r="H35" s="71" t="s">
        <v>7</v>
      </c>
      <c r="I35" s="71"/>
      <c r="J35" s="71" t="s">
        <v>8</v>
      </c>
      <c r="K35" s="71"/>
      <c r="L35" s="71" t="s">
        <v>9</v>
      </c>
      <c r="M35" s="6"/>
    </row>
    <row r="36" ht="15.75" customHeight="1">
      <c r="B36" s="34"/>
      <c r="C36" s="70"/>
      <c r="D36" s="149">
        <f t="array" ref="D36">IF($D$1="MMBio",INDEX(DATA!$A$9:$H$32,XMATCH($A34,DATA!$A$9:$A$32),XMATCH(D35,DATA!$A$9:$H$9)),IF($D$1="Groupe local",MIN(DATA!$G$41:$G$305),""))</f>
        <v>1.030194176</v>
      </c>
      <c r="E36" s="149"/>
      <c r="F36" s="149">
        <f t="array" ref="F36">IF($D$1="MMBio",INDEX(DATA!$A$9:$H$32,XMATCH($A34,DATA!$A$9:$A$32),XMATCH(F35,DATA!$A$9:$H$9)),IF($D$1="Groupe local",MIN(DATA!$G$41:$G$305),""))</f>
        <v>1.859848485</v>
      </c>
      <c r="G36" s="149"/>
      <c r="H36" s="149">
        <f t="array" ref="H36">IF($D$1="MMBio",INDEX(DATA!$A$9:$H$32,XMATCH($A34,DATA!$A$9:$A$32),XMATCH(H35,DATA!$A$9:$H$9)),IF($D$1="Groupe local",MIN(DATA!$G$41:$G$305),""))</f>
        <v>3.28178632</v>
      </c>
      <c r="I36" s="149"/>
      <c r="J36" s="149">
        <f t="array" ref="J36">IF($D$1="MMBio",INDEX(DATA!$A$9:$H$32,XMATCH($A34,DATA!$A$9:$A$32),XMATCH(J35,DATA!$A$9:$H$9)),IF($D$1="Groupe local",MIN(DATA!$G$41:$G$305),""))</f>
        <v>4.958380891</v>
      </c>
      <c r="K36" s="149"/>
      <c r="L36" s="149">
        <f t="array" ref="L36">IF($D$1="MMBio",INDEX(DATA!$A$9:$H$32,XMATCH($A34,DATA!$A$9:$A$32),XMATCH(L35,DATA!$A$9:$H$9)),IF($D$1="Groupe local",MIN(DATA!$G$41:$G$305),""))</f>
        <v>6.089917669</v>
      </c>
      <c r="M36" s="6"/>
    </row>
    <row r="37" ht="15.75" customHeight="1">
      <c r="B37" s="73" t="s">
        <v>155</v>
      </c>
      <c r="C37" s="74" t="str">
        <f>IF(SAISIE!$G$34&lt;D36,SAISIE!$G$34,"")</f>
        <v/>
      </c>
      <c r="D37" s="74" t="str">
        <f>IF(SAISIE!$G$34=D36,SAISIE!$G$34,"")</f>
        <v/>
      </c>
      <c r="E37" s="150">
        <f>IF(AND(SAISIE!$G$34&gt;D36,SAISIE!$G$34&lt;F36),SAISIE!$G$34,"")</f>
        <v>1.165754888</v>
      </c>
      <c r="F37" s="74" t="str">
        <f>IF(SAISIE!$G$34=F36,SAISIE!$G$34,"")</f>
        <v/>
      </c>
      <c r="G37" s="74" t="str">
        <f>IF(AND(SAISIE!$G$34&gt;F36,SAISIE!$G$34&lt;H36),SAISIE!$G$34,"")</f>
        <v/>
      </c>
      <c r="H37" s="74" t="str">
        <f>IF(SAISIE!$G$34=H36,SAISIE!$G$34,"")</f>
        <v/>
      </c>
      <c r="I37" s="74" t="str">
        <f>IF(AND(SAISIE!$G$34&gt;H36,SAISIE!$G$34&lt;J36),SAISIE!$G$34,"")</f>
        <v/>
      </c>
      <c r="J37" s="74" t="str">
        <f>IF(SAISIE!$G$34=J36,SAISIE!$G$34,"")</f>
        <v/>
      </c>
      <c r="K37" s="74" t="str">
        <f>IF(AND(SAISIE!$G$34&gt;J36,SAISIE!$G$34&lt;L36),SAISIE!$G$34,"")</f>
        <v/>
      </c>
      <c r="L37" s="74" t="str">
        <f>IF(SAISIE!$G$34=L36,SAISIE!$G$34,"")</f>
        <v/>
      </c>
      <c r="M37" s="74" t="str">
        <f>IF(SAISIE!$G$34&gt;L36,SAISIE!$G$34,"")</f>
        <v/>
      </c>
    </row>
    <row r="38" ht="15.75" customHeight="1"/>
    <row r="39" ht="15.75" customHeight="1">
      <c r="A39" s="151" t="s">
        <v>23</v>
      </c>
      <c r="B39" s="152" t="s">
        <v>24</v>
      </c>
      <c r="C39" s="153"/>
      <c r="D39" s="153"/>
      <c r="E39" s="153"/>
      <c r="F39" s="153"/>
      <c r="G39" s="153"/>
      <c r="H39" s="153"/>
      <c r="I39" s="153"/>
      <c r="J39" s="153"/>
      <c r="K39" s="153"/>
      <c r="L39" s="153"/>
      <c r="M39" s="154"/>
    </row>
    <row r="40" ht="15.75" customHeight="1">
      <c r="B40" s="69" t="str">
        <f>if($D$1="MMBio","Référence MMBio",if($D$1="Groupe local","Référence locale","###"))</f>
        <v>Référence MMBio</v>
      </c>
      <c r="C40" s="70"/>
      <c r="D40" s="71" t="s">
        <v>5</v>
      </c>
      <c r="E40" s="71"/>
      <c r="F40" s="71" t="s">
        <v>6</v>
      </c>
      <c r="G40" s="71"/>
      <c r="H40" s="71" t="s">
        <v>7</v>
      </c>
      <c r="I40" s="71"/>
      <c r="J40" s="71" t="s">
        <v>8</v>
      </c>
      <c r="K40" s="71"/>
      <c r="L40" s="71" t="s">
        <v>9</v>
      </c>
      <c r="M40" s="71"/>
    </row>
    <row r="41" ht="15.75" customHeight="1">
      <c r="B41" s="34"/>
      <c r="C41" s="70"/>
      <c r="D41" s="72">
        <f t="array" ref="D41">IF($D$1="MMBio",INDEX(DATA!$A$9:$H$32,XMATCH($A39,DATA!$A$9:$A$32),XMATCH(D40,DATA!$A$9:$H$9)),IF($D$1="Groupe local",MIN(DATA!$H$41:$H$305),""))</f>
        <v>119.7860963</v>
      </c>
      <c r="E41" s="72"/>
      <c r="F41" s="72">
        <f t="array" ref="F41">IF($D$1="MMBio",INDEX(DATA!$A$9:$H$32,XMATCH($A39,DATA!$A$9:$A$32),XMATCH(F40,DATA!$A$9:$H$9)),IF($D$1="Groupe local",MIN(DATA!$H$41:$H$305),""))</f>
        <v>238.438834</v>
      </c>
      <c r="G41" s="72"/>
      <c r="H41" s="72">
        <f t="array" ref="H41">IF($D$1="MMBio",INDEX(DATA!$A$9:$H$32,XMATCH($A39,DATA!$A$9:$A$32),XMATCH(H40,DATA!$A$9:$H$9)),IF($D$1="Groupe local",MIN(DATA!$H$41:$H$305),""))</f>
        <v>341.0180004</v>
      </c>
      <c r="I41" s="72"/>
      <c r="J41" s="72">
        <f t="array" ref="J41">IF($D$1="MMBio",INDEX(DATA!$A$9:$H$32,XMATCH($A39,DATA!$A$9:$A$32),XMATCH(J40,DATA!$A$9:$H$9)),IF($D$1="Groupe local",MIN(DATA!$H$41:$H$305),""))</f>
        <v>429.721726</v>
      </c>
      <c r="K41" s="72"/>
      <c r="L41" s="72">
        <f t="array" ref="L41">IF($D$1="MMBio",INDEX(DATA!$A$9:$H$32,XMATCH($A39,DATA!$A$9:$A$32),XMATCH(L40,DATA!$A$9:$H$9)),IF($D$1="Groupe local",MIN(DATA!$H$41:$H$305),""))</f>
        <v>679.2</v>
      </c>
      <c r="M41" s="72"/>
    </row>
    <row r="42" ht="15.75" customHeight="1">
      <c r="B42" s="73" t="s">
        <v>155</v>
      </c>
      <c r="C42" s="155">
        <f>IF(SAISIE!$G$35&lt;D41,SAISIE!$G$35,"")</f>
        <v>88.42609942</v>
      </c>
      <c r="D42" s="74" t="str">
        <f>IF(SAISIE!$G$35=D41,SAISIE!$G$35,"")</f>
        <v/>
      </c>
      <c r="E42" s="150" t="str">
        <f>IF(AND(SAISIE!$G$35&gt;D41,SAISIE!$G$35&lt;F41),SAISIE!$G$35,"")</f>
        <v/>
      </c>
      <c r="F42" s="74" t="str">
        <f>IF(SAISIE!$G$35=F41,SAISIE!$G$35,"")</f>
        <v/>
      </c>
      <c r="G42" s="74" t="str">
        <f>IF(AND(SAISIE!$G$35&gt;F41,SAISIE!$G$35&lt;H41),SAISIE!$G$35,"")</f>
        <v/>
      </c>
      <c r="H42" s="74" t="str">
        <f>IF(SAISIE!$G$35=H41,SAISIE!$G$35,"")</f>
        <v/>
      </c>
      <c r="I42" s="74" t="str">
        <f>IF(AND(SAISIE!$G$35&gt;H41,SAISIE!$G$35&lt;J41),SAISIE!$G$35,"")</f>
        <v/>
      </c>
      <c r="J42" s="74" t="str">
        <f>IF(SAISIE!$G$35=J41,SAISIE!$G$35,"")</f>
        <v/>
      </c>
      <c r="K42" s="74" t="str">
        <f>IF(AND(SAISIE!$G$35&gt;J41,SAISIE!$G$35&lt;L41),SAISIE!$G$35,"")</f>
        <v/>
      </c>
      <c r="L42" s="74" t="str">
        <f>IF(SAISIE!$G$35=L41,SAISIE!$G$35,"")</f>
        <v/>
      </c>
      <c r="M42" s="74" t="str">
        <f>IF(SAISIE!$G$35&gt;L41,SAISIE!$G$35,"")</f>
        <v/>
      </c>
    </row>
    <row r="43" ht="15.75" customHeight="1"/>
    <row r="44" ht="15.75" customHeight="1">
      <c r="A44" s="151" t="s">
        <v>25</v>
      </c>
      <c r="B44" s="152" t="s">
        <v>26</v>
      </c>
      <c r="C44" s="153"/>
      <c r="D44" s="153"/>
      <c r="E44" s="153"/>
      <c r="F44" s="153"/>
      <c r="G44" s="153"/>
      <c r="H44" s="153"/>
      <c r="I44" s="153"/>
      <c r="J44" s="153"/>
      <c r="K44" s="153"/>
      <c r="L44" s="153"/>
      <c r="M44" s="154"/>
    </row>
    <row r="45" ht="15.75" customHeight="1">
      <c r="B45" s="69" t="str">
        <f>if($D$1="MMBio","Référence MMBio",if($D$1="Groupe local","Référence locale","###"))</f>
        <v>Référence MMBio</v>
      </c>
      <c r="C45" s="70"/>
      <c r="D45" s="71" t="s">
        <v>5</v>
      </c>
      <c r="E45" s="71"/>
      <c r="F45" s="71" t="s">
        <v>6</v>
      </c>
      <c r="G45" s="71"/>
      <c r="H45" s="71" t="s">
        <v>7</v>
      </c>
      <c r="I45" s="71"/>
      <c r="J45" s="71" t="s">
        <v>8</v>
      </c>
      <c r="K45" s="71"/>
      <c r="L45" s="71" t="s">
        <v>9</v>
      </c>
      <c r="M45" s="71"/>
    </row>
    <row r="46" ht="15.75" customHeight="1">
      <c r="B46" s="34"/>
      <c r="C46" s="156"/>
      <c r="D46" s="147">
        <f t="array" ref="D46">IF($D$1="MMBio",INDEX(DATA!$A$9:$H$32,XMATCH($A44,DATA!$A$9:$A$32),XMATCH(D45,DATA!$A$9:$H$9)),IF($D$1="Groupe local",MIN(DATA!$I$41:$I$305),""))</f>
        <v>0.2</v>
      </c>
      <c r="E46" s="147"/>
      <c r="F46" s="147">
        <f t="array" ref="F46">IF($D$1="MMBio",INDEX(DATA!$A$9:$H$32,XMATCH($A44,DATA!$A$9:$A$32),XMATCH(F45,DATA!$A$9:$H$9)),IF($D$1="Groupe local",MIN(DATA!$I$41:$I$305),""))</f>
        <v>0.3294818741</v>
      </c>
      <c r="G46" s="147"/>
      <c r="H46" s="147">
        <f t="array" ref="H46">IF($D$1="MMBio",INDEX(DATA!$A$9:$H$32,XMATCH($A44,DATA!$A$9:$A$32),XMATCH(H45,DATA!$A$9:$H$9)),IF($D$1="Groupe local",MIN(DATA!$I$41:$I$305),""))</f>
        <v>0.4365404395</v>
      </c>
      <c r="I46" s="147"/>
      <c r="J46" s="147">
        <f t="array" ref="J46">IF($D$1="MMBio",INDEX(DATA!$A$9:$H$32,XMATCH($A44,DATA!$A$9:$A$32),XMATCH(J45,DATA!$A$9:$H$9)),IF($D$1="Groupe local",MIN(DATA!$I$41:$I$305),""))</f>
        <v>0.5378681613</v>
      </c>
      <c r="K46" s="147"/>
      <c r="L46" s="147">
        <f t="array" ref="L46">IF($D$1="MMBio",INDEX(DATA!$A$9:$H$32,XMATCH($A44,DATA!$A$9:$A$32),XMATCH(L45,DATA!$A$9:$H$9)),IF($D$1="Groupe local",MIN(DATA!$I$41:$I$305),""))</f>
        <v>0.7556099551</v>
      </c>
      <c r="M46" s="147"/>
    </row>
    <row r="47" ht="15.75" customHeight="1">
      <c r="B47" s="73" t="s">
        <v>155</v>
      </c>
      <c r="C47" s="148" t="str">
        <f>IF(SAISIE!$C$101&lt;D46,SAISIE!$C$101,"")</f>
        <v/>
      </c>
      <c r="D47" s="148" t="str">
        <f>IF(SAISIE!$C$101=D46,SAISIE!$C$101,"")</f>
        <v/>
      </c>
      <c r="E47" s="148" t="str">
        <f>IF(AND(SAISIE!$C$101&gt;D46,SAISIE!$C$101&lt;F46),SAISIE!$C$101,"")</f>
        <v/>
      </c>
      <c r="F47" s="148" t="str">
        <f>IF(SAISIE!$C$101=F46,SAISIE!$C$101,"")</f>
        <v/>
      </c>
      <c r="G47" s="148">
        <f>IF(AND(SAISIE!$C$101&gt;F46,SAISIE!$C$101&lt;H46),SAISIE!$C$101,"")</f>
        <v>0.3558139535</v>
      </c>
      <c r="H47" s="148" t="str">
        <f>IF(SAISIE!$C$101=H46,SAISIE!$C$101,"")</f>
        <v/>
      </c>
      <c r="I47" s="148" t="str">
        <f>IF(AND(SAISIE!$C$101&gt;H46,SAISIE!$C$101&lt;J46),SAISIE!$C$101,"")</f>
        <v/>
      </c>
      <c r="J47" s="148" t="str">
        <f>IF(SAISIE!$C$101=J46,SAISIE!$C$101,"")</f>
        <v/>
      </c>
      <c r="K47" s="148" t="str">
        <f>IF(AND(SAISIE!$C$101&gt;J46,SAISIE!$C$101&lt;L46),SAISIE!$C$101,"")</f>
        <v/>
      </c>
      <c r="L47" s="148" t="str">
        <f>IF(SAISIE!$C$101=L46,SAISIE!$C$101,"")</f>
        <v/>
      </c>
      <c r="M47" s="148" t="str">
        <f>IF(SAISIE!$C$101&gt;L46,SAISIE!$C$101,"")</f>
        <v/>
      </c>
    </row>
    <row r="48" ht="15.75" customHeight="1"/>
    <row r="49" ht="15.75" customHeight="1">
      <c r="A49" s="151" t="s">
        <v>27</v>
      </c>
      <c r="B49" s="152" t="s">
        <v>28</v>
      </c>
      <c r="C49" s="153"/>
      <c r="D49" s="153"/>
      <c r="E49" s="153"/>
      <c r="F49" s="153"/>
      <c r="G49" s="153"/>
      <c r="H49" s="153"/>
      <c r="I49" s="153"/>
      <c r="J49" s="153"/>
      <c r="K49" s="153"/>
      <c r="L49" s="153"/>
      <c r="M49" s="154"/>
    </row>
    <row r="50" ht="15.75" customHeight="1">
      <c r="B50" s="69" t="str">
        <f>if($D$1="MMBio","Référence MMBio",if($D$1="Groupe local","Référence locale","###"))</f>
        <v>Référence MMBio</v>
      </c>
      <c r="C50" s="70"/>
      <c r="D50" s="71" t="s">
        <v>5</v>
      </c>
      <c r="E50" s="71"/>
      <c r="F50" s="71" t="s">
        <v>6</v>
      </c>
      <c r="G50" s="71"/>
      <c r="H50" s="71" t="s">
        <v>7</v>
      </c>
      <c r="I50" s="71"/>
      <c r="J50" s="71" t="s">
        <v>8</v>
      </c>
      <c r="K50" s="71"/>
      <c r="L50" s="71" t="s">
        <v>9</v>
      </c>
      <c r="M50" s="71"/>
    </row>
    <row r="51" ht="15.75" customHeight="1">
      <c r="B51" s="34"/>
      <c r="C51" s="156"/>
      <c r="D51" s="147">
        <f t="array" ref="D51">IF($D$1="MMBio",INDEX(DATA!$A$9:$H$32,XMATCH($A49,DATA!$A$9:$A$32),XMATCH(D50,DATA!$A$9:$H$9)),IF($D$1="Groupe local",MIN(DATA!$J$41:$J$305),""))</f>
        <v>0.140625</v>
      </c>
      <c r="E51" s="147"/>
      <c r="F51" s="147">
        <f t="array" ref="F51">IF($D$1="MMBio",INDEX(DATA!$A$9:$H$32,XMATCH($A49,DATA!$A$9:$A$32),XMATCH(F50,DATA!$A$9:$H$9)),IF($D$1="Groupe local",MIN(DATA!$J$41:$J$305),""))</f>
        <v>0.2423776596</v>
      </c>
      <c r="G51" s="147"/>
      <c r="H51" s="147">
        <f t="array" ref="H51">IF($D$1="MMBio",INDEX(DATA!$A$9:$H$32,XMATCH($A49,DATA!$A$9:$A$32),XMATCH(H50,DATA!$A$9:$H$9)),IF($D$1="Groupe local",MIN(DATA!$J$41:$J$305),""))</f>
        <v>0.3000155852</v>
      </c>
      <c r="I51" s="147"/>
      <c r="J51" s="147">
        <f t="array" ref="J51">IF($D$1="MMBio",INDEX(DATA!$A$9:$H$32,XMATCH($A49,DATA!$A$9:$A$32),XMATCH(J50,DATA!$A$9:$H$9)),IF($D$1="Groupe local",MIN(DATA!$J$41:$J$305),""))</f>
        <v>0.3402777778</v>
      </c>
      <c r="K51" s="147"/>
      <c r="L51" s="147">
        <f t="array" ref="L51">IF($D$1="MMBio",INDEX(DATA!$A$9:$H$32,XMATCH($A49,DATA!$A$9:$A$32),XMATCH(L50,DATA!$A$9:$H$9)),IF($D$1="Groupe local",MIN(DATA!$J$41:$J$305),""))</f>
        <v>0.55</v>
      </c>
      <c r="M51" s="147"/>
    </row>
    <row r="52" ht="15.75" customHeight="1">
      <c r="B52" s="73" t="s">
        <v>155</v>
      </c>
      <c r="C52" s="148" t="str">
        <f>IF(SAISIE!$C$102&lt;D51,SAISIE!$C$102,"")</f>
        <v/>
      </c>
      <c r="D52" s="148" t="str">
        <f>IF(SAISIE!$C$102=D51,SAISIE!$C$102,"")</f>
        <v/>
      </c>
      <c r="E52" s="148" t="str">
        <f>IF(AND(SAISIE!$C$102&gt;D51,SAISIE!$C$102&lt;F51),SAISIE!$C$102,"")</f>
        <v/>
      </c>
      <c r="F52" s="148" t="str">
        <f>IF(SAISIE!$C$102=F51,SAISIE!$C$102,"")</f>
        <v/>
      </c>
      <c r="G52" s="148" t="str">
        <f>IF(AND(SAISIE!$C$102&gt;F51,SAISIE!$C$102&lt;H51),SAISIE!$C$102,"")</f>
        <v/>
      </c>
      <c r="H52" s="148" t="str">
        <f>IF(SAISIE!$C$102=H51,SAISIE!$C$102,"")</f>
        <v/>
      </c>
      <c r="I52" s="148">
        <f>IF(AND(SAISIE!$C$102&gt;H51,SAISIE!$C$102&lt;J51),SAISIE!$C$102,"")</f>
        <v>0.3325581395</v>
      </c>
      <c r="J52" s="148" t="str">
        <f>IF(SAISIE!$C$102=J51,SAISIE!$C$102,"")</f>
        <v/>
      </c>
      <c r="K52" s="148" t="str">
        <f>IF(AND(SAISIE!$C$102&gt;J51,SAISIE!$C$102&lt;L51),SAISIE!$C$102,"")</f>
        <v/>
      </c>
      <c r="L52" s="148" t="str">
        <f>IF(SAISIE!$C$102=L51,SAISIE!$C$102,"")</f>
        <v/>
      </c>
      <c r="M52" s="148" t="str">
        <f>IF(SAISIE!$C$102&gt;L51,SAISIE!$C$102,"")</f>
        <v/>
      </c>
    </row>
    <row r="53" ht="15.75" customHeight="1"/>
    <row r="54" ht="15.75" customHeight="1">
      <c r="A54" s="151" t="s">
        <v>29</v>
      </c>
      <c r="B54" s="152" t="s">
        <v>30</v>
      </c>
      <c r="C54" s="153"/>
      <c r="D54" s="153"/>
      <c r="E54" s="153"/>
      <c r="F54" s="153"/>
      <c r="G54" s="153"/>
      <c r="H54" s="153"/>
      <c r="I54" s="153"/>
      <c r="J54" s="153"/>
      <c r="K54" s="153"/>
      <c r="L54" s="153"/>
      <c r="M54" s="154"/>
    </row>
    <row r="55" ht="15.75" customHeight="1">
      <c r="B55" s="69" t="str">
        <f>if($D$1="MMBio","Référence MMBio",if($D$1="Groupe local","Référence locale","###"))</f>
        <v>Référence MMBio</v>
      </c>
      <c r="C55" s="70"/>
      <c r="D55" s="71" t="s">
        <v>5</v>
      </c>
      <c r="E55" s="71"/>
      <c r="F55" s="71" t="s">
        <v>6</v>
      </c>
      <c r="G55" s="71"/>
      <c r="H55" s="71" t="s">
        <v>7</v>
      </c>
      <c r="I55" s="71"/>
      <c r="J55" s="71" t="s">
        <v>8</v>
      </c>
      <c r="K55" s="71"/>
      <c r="L55" s="71" t="s">
        <v>9</v>
      </c>
      <c r="M55" s="71"/>
    </row>
    <row r="56" ht="15.75" customHeight="1">
      <c r="B56" s="34"/>
      <c r="C56" s="156"/>
      <c r="D56" s="147">
        <f t="array" ref="D56">IF($D$1="MMBio",INDEX(DATA!$A$9:$H$32,XMATCH($A54,DATA!$A$9:$A$32),XMATCH(D55,DATA!$A$9:$H$9)),IF($D$1="Groupe local",MIN(DATA!$K$41:$K$305),""))</f>
        <v>0.05385556916</v>
      </c>
      <c r="E56" s="147"/>
      <c r="F56" s="147">
        <f t="array" ref="F56">IF($D$1="MMBio",INDEX(DATA!$A$9:$H$32,XMATCH($A54,DATA!$A$9:$A$32),XMATCH(F55,DATA!$A$9:$H$9)),IF($D$1="Groupe local",MIN(DATA!$K$41:$K$305),""))</f>
        <v>0.1334449998</v>
      </c>
      <c r="G56" s="147"/>
      <c r="H56" s="147">
        <f t="array" ref="H56">IF($D$1="MMBio",INDEX(DATA!$A$9:$H$32,XMATCH($A54,DATA!$A$9:$A$32),XMATCH(H55,DATA!$A$9:$H$9)),IF($D$1="Groupe local",MIN(DATA!$K$41:$K$305),""))</f>
        <v>0.1807221908</v>
      </c>
      <c r="I56" s="147"/>
      <c r="J56" s="147">
        <f t="array" ref="J56">IF($D$1="MMBio",INDEX(DATA!$A$9:$H$32,XMATCH($A54,DATA!$A$9:$A$32),XMATCH(J55,DATA!$A$9:$H$9)),IF($D$1="Groupe local",MIN(DATA!$K$41:$K$305),""))</f>
        <v>0.2544084202</v>
      </c>
      <c r="K56" s="147"/>
      <c r="L56" s="147">
        <f t="array" ref="L56">IF($D$1="MMBio",INDEX(DATA!$A$9:$H$32,XMATCH($A54,DATA!$A$9:$A$32),XMATCH(L55,DATA!$A$9:$H$9)),IF($D$1="Groupe local",MIN(DATA!$K$41:$K$305),""))</f>
        <v>0.3469387755</v>
      </c>
      <c r="M56" s="147"/>
    </row>
    <row r="57" ht="15.75" customHeight="1">
      <c r="B57" s="73" t="s">
        <v>155</v>
      </c>
      <c r="C57" s="148" t="str">
        <f>IF(SAISIE!$C$103&lt;D56,SAISIE!$C$103,"")</f>
        <v/>
      </c>
      <c r="D57" s="148" t="str">
        <f>IF(SAISIE!$C$103=D56,SAISIE!$C$103,"")</f>
        <v/>
      </c>
      <c r="E57" s="148" t="str">
        <f>IF(AND(SAISIE!$C$103&gt;D56,SAISIE!$C$103&lt;F56),SAISIE!$C$103,"")</f>
        <v/>
      </c>
      <c r="F57" s="148" t="str">
        <f>IF(SAISIE!$C$103=F56,SAISIE!$C$103,"")</f>
        <v/>
      </c>
      <c r="G57" s="148" t="str">
        <f>IF(AND(SAISIE!$C$103&gt;F56,SAISIE!$C$103&lt;H56),SAISIE!$C$103,"")</f>
        <v/>
      </c>
      <c r="H57" s="148" t="str">
        <f>IF(SAISIE!$C$103=H56,SAISIE!$C$103,"")</f>
        <v/>
      </c>
      <c r="I57" s="148" t="str">
        <f>IF(AND(SAISIE!$C$103&gt;H56,SAISIE!$C$103&lt;J56),SAISIE!$C$103,"")</f>
        <v/>
      </c>
      <c r="J57" s="148" t="str">
        <f>IF(SAISIE!$C$103=J56,SAISIE!$C$103,"")</f>
        <v/>
      </c>
      <c r="K57" s="148">
        <f>IF(AND(SAISIE!$C$103&gt;J56,SAISIE!$C$103&lt;L56),SAISIE!$C$103,"")</f>
        <v>0.261627907</v>
      </c>
      <c r="L57" s="148" t="str">
        <f>IF(SAISIE!$C$103=L56,SAISIE!$C$103,"")</f>
        <v/>
      </c>
      <c r="M57" s="148" t="str">
        <f>IF(SAISIE!$C$103&gt;L56,SAISIE!$C$103,"")</f>
        <v/>
      </c>
    </row>
    <row r="58" ht="15.75" customHeight="1"/>
    <row r="59" ht="15.75" customHeight="1">
      <c r="A59" s="151" t="s">
        <v>31</v>
      </c>
      <c r="B59" s="152" t="s">
        <v>32</v>
      </c>
      <c r="C59" s="153"/>
      <c r="D59" s="153"/>
      <c r="E59" s="153"/>
      <c r="F59" s="153"/>
      <c r="G59" s="153"/>
      <c r="H59" s="153"/>
      <c r="I59" s="153"/>
      <c r="J59" s="153"/>
      <c r="K59" s="153"/>
      <c r="L59" s="153"/>
      <c r="M59" s="154"/>
    </row>
    <row r="60" ht="15.75" customHeight="1">
      <c r="B60" s="69" t="str">
        <f>if($D$1="MMBio","Référence MMBio",if($D$1="Groupe local","Référence locale","###"))</f>
        <v>Référence MMBio</v>
      </c>
      <c r="C60" s="70"/>
      <c r="D60" s="71" t="s">
        <v>5</v>
      </c>
      <c r="E60" s="71"/>
      <c r="F60" s="71" t="s">
        <v>6</v>
      </c>
      <c r="G60" s="71"/>
      <c r="H60" s="71" t="s">
        <v>7</v>
      </c>
      <c r="I60" s="71"/>
      <c r="J60" s="71" t="s">
        <v>8</v>
      </c>
      <c r="K60" s="71"/>
      <c r="L60" s="71" t="s">
        <v>9</v>
      </c>
      <c r="M60" s="71"/>
    </row>
    <row r="61" ht="15.75" customHeight="1">
      <c r="B61" s="34"/>
      <c r="C61" s="156"/>
      <c r="D61" s="147">
        <f t="array" ref="D61">IF($D$1="MMBio",INDEX(DATA!$A$9:$H$32,XMATCH($A59,DATA!$A$9:$A$32),XMATCH(D60,DATA!$A$9:$H$9)),IF($D$1="Groupe local",MIN(DATA!$L$41:$L$305),""))</f>
        <v>0</v>
      </c>
      <c r="E61" s="147"/>
      <c r="F61" s="147">
        <f t="array" ref="F61">IF($D$1="MMBio",INDEX(DATA!$A$9:$H$32,XMATCH($A59,DATA!$A$9:$A$32),XMATCH(F60,DATA!$A$9:$H$9)),IF($D$1="Groupe local",MIN(DATA!$L$41:$L$305),""))</f>
        <v>0.02432597837</v>
      </c>
      <c r="G61" s="147"/>
      <c r="H61" s="147">
        <f t="array" ref="H61">IF($D$1="MMBio",INDEX(DATA!$A$9:$H$32,XMATCH($A59,DATA!$A$9:$A$32),XMATCH(H60,DATA!$A$9:$H$9)),IF($D$1="Groupe local",MIN(DATA!$L$41:$L$305),""))</f>
        <v>0.04794413502</v>
      </c>
      <c r="I61" s="147"/>
      <c r="J61" s="147">
        <f t="array" ref="J61">IF($D$1="MMBio",INDEX(DATA!$A$9:$H$32,XMATCH($A59,DATA!$A$9:$A$32),XMATCH(J60,DATA!$A$9:$H$9)),IF($D$1="Groupe local",MIN(DATA!$L$41:$L$305),""))</f>
        <v>0.09509867892</v>
      </c>
      <c r="K61" s="147"/>
      <c r="L61" s="147">
        <f t="array" ref="L61">IF($D$1="MMBio",INDEX(DATA!$A$9:$H$32,XMATCH($A59,DATA!$A$9:$A$32),XMATCH(L60,DATA!$A$9:$H$9)),IF($D$1="Groupe local",MIN(DATA!$L$41:$L$305),""))</f>
        <v>0.1765957447</v>
      </c>
      <c r="M61" s="147"/>
    </row>
    <row r="62" ht="15.75" customHeight="1">
      <c r="B62" s="73" t="s">
        <v>155</v>
      </c>
      <c r="C62" s="148" t="str">
        <f>IF(SAISIE!$C$104&lt;D61,SAISIE!$C$104,"")</f>
        <v/>
      </c>
      <c r="D62" s="148" t="str">
        <f>IF(SAISIE!$C$104=D61,SAISIE!$C$104,"")</f>
        <v/>
      </c>
      <c r="E62" s="148" t="str">
        <f>IF(AND(SAISIE!$C$104&gt;D61,SAISIE!$C$104&lt;F61),SAISIE!$C$104,"")</f>
        <v/>
      </c>
      <c r="F62" s="148" t="str">
        <f>IF(SAISIE!$C$104=F61,SAISIE!$C$104,"")</f>
        <v/>
      </c>
      <c r="G62" s="148" t="str">
        <f>IF(AND(SAISIE!$C$104&gt;F61,SAISIE!$C$104&lt;H61),SAISIE!$C$104,"")</f>
        <v/>
      </c>
      <c r="H62" s="148" t="str">
        <f>IF(SAISIE!$C$104=H61,SAISIE!$C$104,"")</f>
        <v/>
      </c>
      <c r="I62" s="148">
        <f>IF(AND(SAISIE!$C$104&gt;H61,SAISIE!$C$104&lt;J61),SAISIE!$C$104,"")</f>
        <v>0.05</v>
      </c>
      <c r="J62" s="148" t="str">
        <f>IF(SAISIE!$C$104=J61,SAISIE!$C$104,"")</f>
        <v/>
      </c>
      <c r="K62" s="148" t="str">
        <f>IF(AND(SAISIE!$C$104&gt;J61,SAISIE!$C$104&lt;L61),SAISIE!$C$104,"")</f>
        <v/>
      </c>
      <c r="L62" s="148" t="str">
        <f>IF(SAISIE!$C$104=L61,SAISIE!$C$104,"")</f>
        <v/>
      </c>
      <c r="M62" s="148" t="str">
        <f>IF(SAISIE!$C$104&gt;L61,SAISIE!$C$104,"")</f>
        <v/>
      </c>
    </row>
    <row r="63" ht="15.75" customHeight="1"/>
    <row r="64" ht="15.75" customHeight="1"/>
    <row r="65" ht="15.75" customHeight="1"/>
    <row r="66" ht="15.75" customHeight="1">
      <c r="A66" s="61" t="s">
        <v>298</v>
      </c>
      <c r="B66" s="4"/>
      <c r="C66" s="4"/>
      <c r="D66" s="4"/>
      <c r="E66" s="4"/>
      <c r="F66" s="4"/>
      <c r="G66" s="4"/>
      <c r="H66" s="4"/>
      <c r="I66" s="4"/>
      <c r="J66" s="4"/>
      <c r="K66" s="4"/>
      <c r="L66" s="4"/>
      <c r="M66" s="5"/>
    </row>
    <row r="67" ht="15.75" customHeight="1"/>
    <row r="68" ht="15.75" customHeight="1">
      <c r="A68" s="157" t="s">
        <v>33</v>
      </c>
      <c r="B68" s="158" t="s">
        <v>34</v>
      </c>
      <c r="C68" s="4"/>
      <c r="D68" s="4"/>
      <c r="E68" s="4"/>
      <c r="F68" s="4"/>
      <c r="G68" s="4"/>
      <c r="H68" s="4"/>
      <c r="I68" s="4"/>
      <c r="J68" s="4"/>
      <c r="K68" s="4"/>
      <c r="L68" s="4"/>
      <c r="M68" s="5"/>
    </row>
    <row r="69" ht="15.75" customHeight="1">
      <c r="B69" s="69" t="str">
        <f>if($D$1="MMBio","Référence MMBio",if($D$1="Groupe local","Référence locale","###"))</f>
        <v>Référence MMBio</v>
      </c>
      <c r="C69" s="70"/>
      <c r="D69" s="71" t="s">
        <v>5</v>
      </c>
      <c r="E69" s="71"/>
      <c r="F69" s="71" t="s">
        <v>6</v>
      </c>
      <c r="G69" s="71"/>
      <c r="H69" s="71" t="s">
        <v>7</v>
      </c>
      <c r="I69" s="71"/>
      <c r="J69" s="71" t="s">
        <v>8</v>
      </c>
      <c r="K69" s="71"/>
      <c r="L69" s="71" t="s">
        <v>9</v>
      </c>
      <c r="M69" s="71"/>
    </row>
    <row r="70" ht="15.75" customHeight="1">
      <c r="B70" s="34"/>
      <c r="C70" s="70"/>
      <c r="D70" s="72">
        <f t="array" ref="D70">IF($D$1="MMBio",INDEX(DATA!$A$9:$H$32,XMATCH($A68,DATA!$A$9:$A$32),XMATCH(D69,DATA!$A$9:$H$9)),IF($D$1="Groupe local",MIN(DATA!$M$41:$M$305),""))</f>
        <v>21608.09609</v>
      </c>
      <c r="E70" s="72"/>
      <c r="F70" s="72">
        <f t="array" ref="F70">IF($D$1="MMBio",INDEX(DATA!$A$9:$H$32,XMATCH($A68,DATA!$A$9:$A$32),XMATCH(F69,DATA!$A$9:$H$9)),IF($D$1="Groupe local",MIN(DATA!$M$41:$M$305),""))</f>
        <v>39029.01786</v>
      </c>
      <c r="G70" s="72"/>
      <c r="H70" s="72">
        <f t="array" ref="H70">IF($D$1="MMBio",INDEX(DATA!$A$9:$H$32,XMATCH($A68,DATA!$A$9:$A$32),XMATCH(H69,DATA!$A$9:$H$9)),IF($D$1="Groupe local",MIN(DATA!$M$41:$M$305),""))</f>
        <v>62978.49822</v>
      </c>
      <c r="I70" s="72"/>
      <c r="J70" s="72">
        <f t="array" ref="J70">IF($D$1="MMBio",INDEX(DATA!$A$9:$H$32,XMATCH($A68,DATA!$A$9:$A$32),XMATCH(J69,DATA!$A$9:$H$9)),IF($D$1="Groupe local",MIN(DATA!$M$41:$M$305),""))</f>
        <v>104478.8975</v>
      </c>
      <c r="K70" s="72"/>
      <c r="L70" s="72">
        <f t="array" ref="L70">IF($D$1="MMBio",INDEX(DATA!$A$9:$H$32,XMATCH($A68,DATA!$A$9:$A$32),XMATCH(L69,DATA!$A$9:$H$9)),IF($D$1="Groupe local",MIN(DATA!$M$41:$M$305),""))</f>
        <v>184298.1187</v>
      </c>
      <c r="M70" s="72"/>
    </row>
    <row r="71" ht="15.75" customHeight="1">
      <c r="B71" s="73" t="s">
        <v>155</v>
      </c>
      <c r="C71" s="155" t="str">
        <f>IF(SAISIE!$D$147&lt;D70,SAISIE!$D$147,"")</f>
        <v/>
      </c>
      <c r="D71" s="74" t="str">
        <f>IF(SAISIE!$D$147=D70,SAISIE!$D$147,"")</f>
        <v/>
      </c>
      <c r="E71" s="155">
        <f>IF(AND(SAISIE!$D$147&gt;D70,SAISIE!$D$147&lt;F70),SAISIE!$D$147,"")</f>
        <v>24297.93814</v>
      </c>
      <c r="F71" s="74" t="str">
        <f>IF(SAISIE!$D$147=F70,SAISIE!$D$147,"")</f>
        <v/>
      </c>
      <c r="G71" s="74" t="str">
        <f>IF(AND(SAISIE!$D$147&gt;F70,SAISIE!$D$147&lt;H70),SAISIE!$D$147,"")</f>
        <v/>
      </c>
      <c r="H71" s="74" t="str">
        <f>IF(SAISIE!$D$147=H70,SAISIE!$D$147,"")</f>
        <v/>
      </c>
      <c r="I71" s="74" t="str">
        <f>IF(AND(SAISIE!$D$147&gt;H70,SAISIE!$D$147&lt;J70),SAISIE!$D$147,"")</f>
        <v/>
      </c>
      <c r="J71" s="74" t="str">
        <f>IF(SAISIE!$D$147=J70,SAISIE!$D$147,"")</f>
        <v/>
      </c>
      <c r="K71" s="74" t="str">
        <f>IF(AND(SAISIE!$D$147&gt;J70,SAISIE!$D$147&lt;L70),SAISIE!$D$147,"")</f>
        <v/>
      </c>
      <c r="L71" s="74" t="str">
        <f>IF(SAISIE!$D$147=L70,SAISIE!$D$147,"")</f>
        <v/>
      </c>
      <c r="M71" s="74" t="str">
        <f>IF(SAISIE!$D$147&gt;L70,SAISIE!$D$147,"")</f>
        <v/>
      </c>
    </row>
    <row r="72" ht="15.75" customHeight="1"/>
    <row r="73" ht="15.75" customHeight="1">
      <c r="A73" s="157" t="s">
        <v>35</v>
      </c>
      <c r="B73" s="158" t="s">
        <v>36</v>
      </c>
      <c r="C73" s="4"/>
      <c r="D73" s="4"/>
      <c r="E73" s="4"/>
      <c r="F73" s="4"/>
      <c r="G73" s="4"/>
      <c r="H73" s="4"/>
      <c r="I73" s="4"/>
      <c r="J73" s="4"/>
      <c r="K73" s="4"/>
      <c r="L73" s="4"/>
      <c r="M73" s="5"/>
    </row>
    <row r="74" ht="15.75" customHeight="1">
      <c r="B74" s="69" t="str">
        <f>if($D$1="MMBio","Référence MMBio",if($D$1="Groupe local","Référence locale","###"))</f>
        <v>Référence MMBio</v>
      </c>
      <c r="C74" s="70"/>
      <c r="D74" s="71" t="s">
        <v>5</v>
      </c>
      <c r="E74" s="71"/>
      <c r="F74" s="71" t="s">
        <v>6</v>
      </c>
      <c r="G74" s="71"/>
      <c r="H74" s="71" t="s">
        <v>7</v>
      </c>
      <c r="I74" s="71"/>
      <c r="J74" s="71" t="s">
        <v>8</v>
      </c>
      <c r="K74" s="71"/>
      <c r="L74" s="71" t="s">
        <v>9</v>
      </c>
      <c r="M74" s="71"/>
    </row>
    <row r="75" ht="15.75" customHeight="1">
      <c r="B75" s="34"/>
      <c r="C75" s="70"/>
      <c r="D75" s="149">
        <f t="array" ref="D75">IF($D$1="MMBio",INDEX(DATA!$A$9:$H$32,XMATCH($A73,DATA!$A$9:$A$32),XMATCH(D74,DATA!$A$9:$H$9)),IF($D$1="Groupe local",MIN(DATA!$N$41:$N$305),""))</f>
        <v>2.160809609</v>
      </c>
      <c r="E75" s="72"/>
      <c r="F75" s="149">
        <f t="array" ref="F75">IF($D$1="MMBio",INDEX(DATA!$A$9:$H$32,XMATCH($A73,DATA!$A$9:$A$32),XMATCH(F74,DATA!$A$9:$H$9)),IF($D$1="Groupe local",MIN(DATA!$N$41:$N$305),""))</f>
        <v>3.902901786</v>
      </c>
      <c r="G75" s="72"/>
      <c r="H75" s="149">
        <f t="array" ref="H75">IF($D$1="MMBio",INDEX(DATA!$A$9:$H$32,XMATCH($A73,DATA!$A$9:$A$32),XMATCH(H74,DATA!$A$9:$H$9)),IF($D$1="Groupe local",MIN(DATA!$N$41:$N$305),""))</f>
        <v>6.297849822</v>
      </c>
      <c r="I75" s="72"/>
      <c r="J75" s="149">
        <f t="array" ref="J75">IF($D$1="MMBio",INDEX(DATA!$A$9:$H$32,XMATCH($A73,DATA!$A$9:$A$32),XMATCH(J74,DATA!$A$9:$H$9)),IF($D$1="Groupe local",MIN(DATA!$N$41:$N$305),""))</f>
        <v>10.44788975</v>
      </c>
      <c r="K75" s="72"/>
      <c r="L75" s="149">
        <f t="array" ref="L75">IF($D$1="MMBio",INDEX(DATA!$A$9:$H$32,XMATCH($A73,DATA!$A$9:$A$32),XMATCH(L74,DATA!$A$9:$H$9)),IF($D$1="Groupe local",MIN(DATA!$N$41:$N$305),""))</f>
        <v>18.42981187</v>
      </c>
      <c r="M75" s="72"/>
    </row>
    <row r="76" ht="15.75" customHeight="1">
      <c r="B76" s="73" t="s">
        <v>155</v>
      </c>
      <c r="C76" s="155" t="str">
        <f>IF(SAISIE!$D$148&lt;D75,SAISIE!$D$148,"")</f>
        <v/>
      </c>
      <c r="D76" s="74" t="str">
        <f>IF(SAISIE!$D$148=D75,SAISIE!$D$148,"")</f>
        <v/>
      </c>
      <c r="E76" s="150">
        <f>IF(AND(SAISIE!$D$148&gt;D75,SAISIE!$D$148&lt;F75),SAISIE!$D$148,"")</f>
        <v>2.429793814</v>
      </c>
      <c r="F76" s="74" t="str">
        <f>IF(SAISIE!$D$148=F75,SAISIE!$D$148,"")</f>
        <v/>
      </c>
      <c r="G76" s="74" t="str">
        <f>IF(AND(SAISIE!$D$148&gt;F75,SAISIE!$D$148&lt;H75),SAISIE!$D$148,"")</f>
        <v/>
      </c>
      <c r="H76" s="74" t="str">
        <f>IF(SAISIE!$D$148=H75,SAISIE!$D$148,"")</f>
        <v/>
      </c>
      <c r="I76" s="74" t="str">
        <f>IF(AND(SAISIE!$D$148&gt;H75,SAISIE!$D$148&lt;J75),SAISIE!$D$148,"")</f>
        <v/>
      </c>
      <c r="J76" s="74" t="str">
        <f>IF(SAISIE!$D$148=J75,SAISIE!$D$148,"")</f>
        <v/>
      </c>
      <c r="K76" s="74" t="str">
        <f>IF(AND(SAISIE!$D$148&gt;J75,SAISIE!$D$148&lt;L75),SAISIE!$D$148,"")</f>
        <v/>
      </c>
      <c r="L76" s="74" t="str">
        <f>IF(SAISIE!$D$148=L75,SAISIE!$D$148,"")</f>
        <v/>
      </c>
      <c r="M76" s="74" t="str">
        <f>IF(SAISIE!$D$148&gt;L75,SAISIE!$D$148,"")</f>
        <v/>
      </c>
    </row>
    <row r="77" ht="15.75" customHeight="1"/>
    <row r="78" ht="15.75" customHeight="1">
      <c r="A78" s="157" t="s">
        <v>37</v>
      </c>
      <c r="B78" s="158" t="s">
        <v>38</v>
      </c>
      <c r="C78" s="4"/>
      <c r="D78" s="4"/>
      <c r="E78" s="4"/>
      <c r="F78" s="4"/>
      <c r="G78" s="4"/>
      <c r="H78" s="4"/>
      <c r="I78" s="4"/>
      <c r="J78" s="4"/>
      <c r="K78" s="4"/>
      <c r="L78" s="4"/>
      <c r="M78" s="5"/>
    </row>
    <row r="79" ht="15.75" customHeight="1">
      <c r="B79" s="69" t="str">
        <f>if($D$1="MMBio","Référence MMBio",if($D$1="Groupe local","Référence locale","###"))</f>
        <v>Référence MMBio</v>
      </c>
      <c r="C79" s="70"/>
      <c r="D79" s="71" t="s">
        <v>5</v>
      </c>
      <c r="E79" s="71"/>
      <c r="F79" s="71" t="s">
        <v>6</v>
      </c>
      <c r="G79" s="71"/>
      <c r="H79" s="71" t="s">
        <v>7</v>
      </c>
      <c r="I79" s="71"/>
      <c r="J79" s="71" t="s">
        <v>8</v>
      </c>
      <c r="K79" s="71"/>
      <c r="L79" s="71" t="s">
        <v>9</v>
      </c>
      <c r="M79" s="71"/>
    </row>
    <row r="80" ht="15.75" customHeight="1">
      <c r="B80" s="34"/>
      <c r="C80" s="70"/>
      <c r="D80" s="149">
        <f t="array" ref="D80">IF($D$1="MMBio",INDEX(DATA!$A$9:$H$32,XMATCH($A78,DATA!$A$9:$A$32),XMATCH(D79,DATA!$A$9:$H$9)),IF($D$1="Groupe local",MIN(DATA!$O$41:$O$305),""))</f>
        <v>1.072088764</v>
      </c>
      <c r="E80" s="72"/>
      <c r="F80" s="149">
        <f t="array" ref="F80">IF($D$1="MMBio",INDEX(DATA!$A$9:$H$32,XMATCH($A78,DATA!$A$9:$A$32),XMATCH(F79,DATA!$A$9:$H$9)),IF($D$1="Groupe local",MIN(DATA!$O$41:$O$305),""))</f>
        <v>2.767795476</v>
      </c>
      <c r="G80" s="72"/>
      <c r="H80" s="149">
        <f t="array" ref="H80">IF($D$1="MMBio",INDEX(DATA!$A$9:$H$32,XMATCH($A78,DATA!$A$9:$A$32),XMATCH(H79,DATA!$A$9:$H$9)),IF($D$1="Groupe local",MIN(DATA!$O$41:$O$305),""))</f>
        <v>3.90617573</v>
      </c>
      <c r="I80" s="72"/>
      <c r="J80" s="149">
        <f t="array" ref="J80">IF($D$1="MMBio",INDEX(DATA!$A$9:$H$32,XMATCH($A78,DATA!$A$9:$A$32),XMATCH(J79,DATA!$A$9:$H$9)),IF($D$1="Groupe local",MIN(DATA!$O$41:$O$305),""))</f>
        <v>5.16990732</v>
      </c>
      <c r="K80" s="72"/>
      <c r="L80" s="149">
        <f t="array" ref="L80">IF($D$1="MMBio",INDEX(DATA!$A$9:$H$32,XMATCH($A78,DATA!$A$9:$A$32),XMATCH(L79,DATA!$A$9:$H$9)),IF($D$1="Groupe local",MIN(DATA!$O$41:$O$305),""))</f>
        <v>9.068235294</v>
      </c>
      <c r="M80" s="72"/>
    </row>
    <row r="81" ht="15.75" customHeight="1">
      <c r="B81" s="73" t="s">
        <v>155</v>
      </c>
      <c r="C81" s="155" t="str">
        <f>IF(SAISIE!$D$149&lt;D80,SAISIE!$D$149,"")</f>
        <v/>
      </c>
      <c r="D81" s="74" t="str">
        <f>IF(SAISIE!$D$149=D80,SAISIE!$D$149,"")</f>
        <v/>
      </c>
      <c r="E81" s="150">
        <f>IF(AND(SAISIE!$D$149&gt;D80,SAISIE!$D$149&lt;F80),SAISIE!$D$149,"")</f>
        <v>2.02814433</v>
      </c>
      <c r="F81" s="74" t="str">
        <f>IF(SAISIE!$D$149=F80,SAISIE!$D$149,"")</f>
        <v/>
      </c>
      <c r="G81" s="74" t="str">
        <f>IF(AND(SAISIE!$D$149&gt;F80,SAISIE!$D$149&lt;H80),SAISIE!$D$149,"")</f>
        <v/>
      </c>
      <c r="H81" s="74" t="str">
        <f>IF(SAISIE!$D$149=H80,SAISIE!$D$149,"")</f>
        <v/>
      </c>
      <c r="I81" s="74" t="str">
        <f>IF(AND(SAISIE!$D$149&gt;H80,SAISIE!$D$149&lt;J80),SAISIE!$D$149,"")</f>
        <v/>
      </c>
      <c r="J81" s="74" t="str">
        <f>IF(SAISIE!$D$149=J80,SAISIE!$D$149,"")</f>
        <v/>
      </c>
      <c r="K81" s="74" t="str">
        <f>IF(AND(SAISIE!$D$149&gt;J80,SAISIE!$D$149&lt;L80),SAISIE!$D$149,"")</f>
        <v/>
      </c>
      <c r="L81" s="74" t="str">
        <f>IF(SAISIE!$D$149=L80,SAISIE!$D$149,"")</f>
        <v/>
      </c>
      <c r="M81" s="74" t="str">
        <f>IF(SAISIE!$D$149&gt;L80,SAISIE!$D$149,"")</f>
        <v/>
      </c>
    </row>
    <row r="82" ht="15.75" customHeight="1"/>
    <row r="83" ht="15.75" customHeight="1">
      <c r="A83" s="157" t="s">
        <v>39</v>
      </c>
      <c r="B83" s="158" t="s">
        <v>40</v>
      </c>
      <c r="C83" s="4"/>
      <c r="D83" s="4"/>
      <c r="E83" s="4"/>
      <c r="F83" s="4"/>
      <c r="G83" s="4"/>
      <c r="H83" s="4"/>
      <c r="I83" s="4"/>
      <c r="J83" s="4"/>
      <c r="K83" s="4"/>
      <c r="L83" s="4"/>
      <c r="M83" s="5"/>
    </row>
    <row r="84" ht="15.75" customHeight="1">
      <c r="B84" s="69" t="str">
        <f>if($D$1="MMBio","Référence MMBio",if($D$1="Groupe local","Référence locale","###"))</f>
        <v>Référence MMBio</v>
      </c>
      <c r="C84" s="70"/>
      <c r="D84" s="71" t="s">
        <v>5</v>
      </c>
      <c r="E84" s="71"/>
      <c r="F84" s="71" t="s">
        <v>6</v>
      </c>
      <c r="G84" s="71"/>
      <c r="H84" s="71" t="s">
        <v>7</v>
      </c>
      <c r="I84" s="71"/>
      <c r="J84" s="71" t="s">
        <v>8</v>
      </c>
      <c r="K84" s="71"/>
      <c r="L84" s="71" t="s">
        <v>9</v>
      </c>
      <c r="M84" s="71"/>
    </row>
    <row r="85" ht="15.75" customHeight="1">
      <c r="B85" s="34"/>
      <c r="C85" s="156"/>
      <c r="D85" s="147">
        <f t="array" ref="D85">IF($D$1="MMBio",INDEX(DATA!$A$9:$H$32,XMATCH($A83,DATA!$A$9:$A$32),XMATCH(D84,DATA!$A$9:$H$9)),IF($D$1="Groupe local",MIN(DATA!$P$41:$P$305),""))</f>
        <v>0.09902626293</v>
      </c>
      <c r="E85" s="147"/>
      <c r="F85" s="147">
        <f t="array" ref="F85">IF($D$1="MMBio",INDEX(DATA!$A$9:$H$32,XMATCH($A83,DATA!$A$9:$A$32),XMATCH(F84,DATA!$A$9:$H$9)),IF($D$1="Groupe local",MIN(DATA!$P$41:$P$305),""))</f>
        <v>0.1617791518</v>
      </c>
      <c r="G85" s="147"/>
      <c r="H85" s="147">
        <f t="array" ref="H85">IF($D$1="MMBio",INDEX(DATA!$A$9:$H$32,XMATCH($A83,DATA!$A$9:$A$32),XMATCH(H84,DATA!$A$9:$H$9)),IF($D$1="Groupe local",MIN(DATA!$P$41:$P$305),""))</f>
        <v>0.2340437588</v>
      </c>
      <c r="I85" s="147"/>
      <c r="J85" s="147">
        <f t="array" ref="J85">IF($D$1="MMBio",INDEX(DATA!$A$9:$H$32,XMATCH($A83,DATA!$A$9:$A$32),XMATCH(J84,DATA!$A$9:$H$9)),IF($D$1="Groupe local",MIN(DATA!$P$41:$P$305),""))</f>
        <v>0.311915675</v>
      </c>
      <c r="K85" s="147"/>
      <c r="L85" s="147">
        <f t="array" ref="L85">IF($D$1="MMBio",INDEX(DATA!$A$9:$H$32,XMATCH($A83,DATA!$A$9:$A$32),XMATCH(L84,DATA!$A$9:$H$9)),IF($D$1="Groupe local",MIN(DATA!$P$41:$P$305),""))</f>
        <v>0.5321662558</v>
      </c>
      <c r="M85" s="147"/>
    </row>
    <row r="86" ht="15.75" customHeight="1">
      <c r="B86" s="73" t="s">
        <v>155</v>
      </c>
      <c r="C86" s="148" t="str">
        <f>IF(SAISIE!$D$150&lt;D85,SAISIE!$D$150,"")</f>
        <v/>
      </c>
      <c r="D86" s="148" t="str">
        <f>IF(SAISIE!$D$150=D85,SAISIE!$D$150,"")</f>
        <v/>
      </c>
      <c r="E86" s="148" t="str">
        <f>IF(AND(SAISIE!$D$150&gt;D85,SAISIE!$D$150&lt;F85),SAISIE!$D$150,"")</f>
        <v/>
      </c>
      <c r="F86" s="148" t="str">
        <f>IF(SAISIE!$D$150=F85,SAISIE!$D$150,"")</f>
        <v/>
      </c>
      <c r="G86" s="148" t="str">
        <f>IF(AND(SAISIE!$D$150&gt;F85,SAISIE!$D$150&lt;H85),SAISIE!$D$150,"")</f>
        <v/>
      </c>
      <c r="H86" s="148" t="str">
        <f>IF(SAISIE!$D$150=H85,SAISIE!$D$150,"")</f>
        <v/>
      </c>
      <c r="I86" s="148" t="str">
        <f>IF(AND(SAISIE!$D$150&gt;H85,SAISIE!$D$150&lt;J85),SAISIE!$D$150,"")</f>
        <v/>
      </c>
      <c r="J86" s="148" t="str">
        <f>IF(SAISIE!$D$150=J85,SAISIE!$D$150,"")</f>
        <v/>
      </c>
      <c r="K86" s="148">
        <f>IF(AND(SAISIE!$D$150&gt;J85,SAISIE!$D$150&lt;L85),SAISIE!$D$150,"")</f>
        <v>0.3609007269</v>
      </c>
      <c r="L86" s="148" t="str">
        <f>IF(SAISIE!$D$150=L85,SAISIE!$D$150,"")</f>
        <v/>
      </c>
      <c r="M86" s="148" t="str">
        <f>IF(SAISIE!$D$150&gt;L85,SAISIE!$D$150,"")</f>
        <v/>
      </c>
    </row>
    <row r="87" ht="15.75" customHeight="1"/>
    <row r="88" ht="15.75" customHeight="1">
      <c r="A88" s="157" t="s">
        <v>41</v>
      </c>
      <c r="B88" s="158" t="s">
        <v>42</v>
      </c>
      <c r="C88" s="4"/>
      <c r="D88" s="4"/>
      <c r="E88" s="4"/>
      <c r="F88" s="4"/>
      <c r="G88" s="4"/>
      <c r="H88" s="4"/>
      <c r="I88" s="4"/>
      <c r="J88" s="4"/>
      <c r="K88" s="4"/>
      <c r="L88" s="4"/>
      <c r="M88" s="5"/>
    </row>
    <row r="89" ht="15.75" customHeight="1">
      <c r="B89" s="69" t="str">
        <f>if($D$1="MMBio","Référence MMBio",if($D$1="Groupe local","Référence locale","###"))</f>
        <v>Référence MMBio</v>
      </c>
      <c r="C89" s="70"/>
      <c r="D89" s="71" t="s">
        <v>5</v>
      </c>
      <c r="E89" s="71"/>
      <c r="F89" s="71" t="s">
        <v>6</v>
      </c>
      <c r="G89" s="71"/>
      <c r="H89" s="71" t="s">
        <v>7</v>
      </c>
      <c r="I89" s="71"/>
      <c r="J89" s="71" t="s">
        <v>8</v>
      </c>
      <c r="K89" s="71"/>
      <c r="L89" s="71" t="s">
        <v>9</v>
      </c>
      <c r="M89" s="71"/>
    </row>
    <row r="90" ht="15.75" customHeight="1">
      <c r="B90" s="34"/>
      <c r="C90" s="156"/>
      <c r="D90" s="147">
        <f t="array" ref="D90">IF($D$1="MMBio",INDEX(DATA!$A$9:$H$32,XMATCH($A88,DATA!$A$9:$A$32),XMATCH(D89,DATA!$A$9:$H$9)),IF($D$1="Groupe local",MIN(DATA!$Q$41:$Q$305),""))</f>
        <v>0</v>
      </c>
      <c r="E90" s="147"/>
      <c r="F90" s="147">
        <f t="array" ref="F90">IF($D$1="MMBio",INDEX(DATA!$A$9:$H$32,XMATCH($A88,DATA!$A$9:$A$32),XMATCH(F89,DATA!$A$9:$H$9)),IF($D$1="Groupe local",MIN(DATA!$Q$41:$Q$305),""))</f>
        <v>0</v>
      </c>
      <c r="G90" s="147"/>
      <c r="H90" s="147">
        <f t="array" ref="H90">IF($D$1="MMBio",INDEX(DATA!$A$9:$H$32,XMATCH($A88,DATA!$A$9:$A$32),XMATCH(H89,DATA!$A$9:$H$9)),IF($D$1="Groupe local",MIN(DATA!$Q$41:$Q$305),""))</f>
        <v>0.05287003282</v>
      </c>
      <c r="I90" s="147"/>
      <c r="J90" s="147">
        <f t="array" ref="J90">IF($D$1="MMBio",INDEX(DATA!$A$9:$H$32,XMATCH($A88,DATA!$A$9:$A$32),XMATCH(J89,DATA!$A$9:$H$9)),IF($D$1="Groupe local",MIN(DATA!$Q$41:$Q$305),""))</f>
        <v>0.1622727132</v>
      </c>
      <c r="K90" s="147"/>
      <c r="L90" s="147">
        <f t="array" ref="L90">IF($D$1="MMBio",INDEX(DATA!$A$9:$H$32,XMATCH($A88,DATA!$A$9:$A$32),XMATCH(L89,DATA!$A$9:$H$9)),IF($D$1="Groupe local",MIN(DATA!$Q$41:$Q$305),""))</f>
        <v>0.4708437571</v>
      </c>
      <c r="M90" s="147"/>
    </row>
    <row r="91" ht="15.75" customHeight="1">
      <c r="B91" s="73" t="s">
        <v>155</v>
      </c>
      <c r="C91" s="148" t="str">
        <f>IF(SAISIE!$D$151&lt;D90,SAISIE!$D$151,"")</f>
        <v/>
      </c>
      <c r="D91" s="148" t="str">
        <f>IF(SAISIE!$D$151=D90,SAISIE!$D$151,"")</f>
        <v/>
      </c>
      <c r="E91" s="148" t="str">
        <f>IF(AND(SAISIE!$D$151&gt;D90,SAISIE!$D$151&lt;F90),SAISIE!$D$151,"")</f>
        <v/>
      </c>
      <c r="F91" s="148" t="str">
        <f>IF(SAISIE!$D$151=F90,SAISIE!$D$151,"")</f>
        <v/>
      </c>
      <c r="G91" s="148">
        <f>IF(AND(SAISIE!$D$151&gt;F90,SAISIE!$D$151&lt;H90),SAISIE!$D$151,"")</f>
        <v>0.0447313577</v>
      </c>
      <c r="H91" s="148" t="str">
        <f>IF(SAISIE!$D$151=H90,SAISIE!$D$151,"")</f>
        <v/>
      </c>
      <c r="I91" s="148" t="str">
        <f>IF(AND(SAISIE!$D$151&gt;H90,SAISIE!$D$151&lt;J90),SAISIE!$D$151,"")</f>
        <v/>
      </c>
      <c r="J91" s="148" t="str">
        <f>IF(SAISIE!$D$151=J90,SAISIE!$D$151,"")</f>
        <v/>
      </c>
      <c r="K91" s="148" t="str">
        <f>IF(AND(SAISIE!$D$151&gt;J90,SAISIE!$D$151&lt;L90),SAISIE!$D$151,"")</f>
        <v/>
      </c>
      <c r="L91" s="148" t="str">
        <f>IF(SAISIE!$D$151=L90,SAISIE!$D$151,"")</f>
        <v/>
      </c>
      <c r="M91" s="148" t="str">
        <f>IF(SAISIE!$D$151&gt;L90,SAISIE!$D$151,"")</f>
        <v/>
      </c>
    </row>
    <row r="92" ht="15.75" customHeight="1"/>
    <row r="93" ht="15.75" customHeight="1">
      <c r="A93" s="157" t="s">
        <v>43</v>
      </c>
      <c r="B93" s="158" t="s">
        <v>44</v>
      </c>
      <c r="C93" s="4"/>
      <c r="D93" s="4"/>
      <c r="E93" s="4"/>
      <c r="F93" s="4"/>
      <c r="G93" s="4"/>
      <c r="H93" s="4"/>
      <c r="I93" s="4"/>
      <c r="J93" s="4"/>
      <c r="K93" s="4"/>
      <c r="L93" s="4"/>
      <c r="M93" s="5"/>
    </row>
    <row r="94" ht="15.75" customHeight="1">
      <c r="B94" s="69" t="str">
        <f>if($D$1="MMBio","Référence MMBio",if($D$1="Groupe local","Référence locale","###"))</f>
        <v>Référence MMBio</v>
      </c>
      <c r="C94" s="70"/>
      <c r="D94" s="71" t="s">
        <v>5</v>
      </c>
      <c r="E94" s="71"/>
      <c r="F94" s="71" t="s">
        <v>6</v>
      </c>
      <c r="G94" s="71"/>
      <c r="H94" s="71" t="s">
        <v>7</v>
      </c>
      <c r="I94" s="71"/>
      <c r="J94" s="71" t="s">
        <v>8</v>
      </c>
      <c r="K94" s="71"/>
      <c r="L94" s="71" t="s">
        <v>9</v>
      </c>
      <c r="M94" s="71"/>
    </row>
    <row r="95" ht="15.75" customHeight="1">
      <c r="B95" s="34"/>
      <c r="C95" s="156"/>
      <c r="D95" s="147">
        <f t="array" ref="D95">IF($D$1="MMBio",INDEX(DATA!$A$9:$H$32,XMATCH($A93,DATA!$A$9:$A$32),XMATCH(D94,DATA!$A$9:$H$9)),IF($D$1="Groupe local",MIN(DATA!$R$41:$R$305),""))</f>
        <v>0.03746546961</v>
      </c>
      <c r="E95" s="147"/>
      <c r="F95" s="147">
        <f t="array" ref="F95">IF($D$1="MMBio",INDEX(DATA!$A$9:$H$32,XMATCH($A93,DATA!$A$9:$A$32),XMATCH(F94,DATA!$A$9:$H$9)),IF($D$1="Groupe local",MIN(DATA!$R$41:$R$305),""))</f>
        <v>0.1085328476</v>
      </c>
      <c r="G95" s="147"/>
      <c r="H95" s="147">
        <f t="array" ref="H95">IF($D$1="MMBio",INDEX(DATA!$A$9:$H$32,XMATCH($A93,DATA!$A$9:$A$32),XMATCH(H94,DATA!$A$9:$H$9)),IF($D$1="Groupe local",MIN(DATA!$R$41:$R$305),""))</f>
        <v>0.1906317704</v>
      </c>
      <c r="I95" s="147"/>
      <c r="J95" s="147">
        <f t="array" ref="J95">IF($D$1="MMBio",INDEX(DATA!$A$9:$H$32,XMATCH($A93,DATA!$A$9:$A$32),XMATCH(J94,DATA!$A$9:$H$9)),IF($D$1="Groupe local",MIN(DATA!$R$41:$R$305),""))</f>
        <v>0.2399940089</v>
      </c>
      <c r="K95" s="147"/>
      <c r="L95" s="147">
        <f t="array" ref="L95">IF($D$1="MMBio",INDEX(DATA!$A$9:$H$32,XMATCH($A93,DATA!$A$9:$A$32),XMATCH(L94,DATA!$A$9:$H$9)),IF($D$1="Groupe local",MIN(DATA!$R$41:$R$305),""))</f>
        <v>0.549359813</v>
      </c>
      <c r="M95" s="147"/>
    </row>
    <row r="96" ht="15.75" customHeight="1">
      <c r="B96" s="73" t="s">
        <v>155</v>
      </c>
      <c r="C96" s="148" t="str">
        <f>IF(SAISIE!$D$152&lt;D95,SAISIE!$D$152,"")</f>
        <v/>
      </c>
      <c r="D96" s="148" t="str">
        <f>IF(SAISIE!$D$152=D95,SAISIE!$D$152,"")</f>
        <v/>
      </c>
      <c r="E96" s="148" t="str">
        <f>IF(AND(SAISIE!$D$152&gt;D95,SAISIE!$D$152&lt;F95),SAISIE!$D$152,"")</f>
        <v/>
      </c>
      <c r="F96" s="148" t="str">
        <f>IF(SAISIE!$D$152=F95,SAISIE!$D$152,"")</f>
        <v/>
      </c>
      <c r="G96" s="148" t="str">
        <f>IF(AND(SAISIE!$D$152&gt;F95,SAISIE!$D$152&lt;H95),SAISIE!$D$152,"")</f>
        <v/>
      </c>
      <c r="H96" s="148" t="str">
        <f>IF(SAISIE!$D$152=H95,SAISIE!$D$152,"")</f>
        <v/>
      </c>
      <c r="I96" s="148" t="str">
        <f>IF(AND(SAISIE!$D$152&gt;H95,SAISIE!$D$152&lt;J95),SAISIE!$D$152,"")</f>
        <v/>
      </c>
      <c r="J96" s="148" t="str">
        <f>IF(SAISIE!$D$152=J95,SAISIE!$D$152,"")</f>
        <v/>
      </c>
      <c r="K96" s="148">
        <f>IF(AND(SAISIE!$D$152&gt;J95,SAISIE!$D$152&lt;L95),SAISIE!$D$152,"")</f>
        <v>0.3462105424</v>
      </c>
      <c r="L96" s="148" t="str">
        <f>IF(SAISIE!$D$152=L95,SAISIE!$D$152,"")</f>
        <v/>
      </c>
      <c r="M96" s="148" t="str">
        <f>IF(SAISIE!$D$152&gt;L95,SAISIE!$D$152,"")</f>
        <v/>
      </c>
    </row>
    <row r="97" ht="15.75" customHeight="1"/>
    <row r="98" ht="15.75" customHeight="1">
      <c r="A98" s="157" t="s">
        <v>45</v>
      </c>
      <c r="B98" s="158" t="s">
        <v>46</v>
      </c>
      <c r="C98" s="4"/>
      <c r="D98" s="4"/>
      <c r="E98" s="4"/>
      <c r="F98" s="4"/>
      <c r="G98" s="4"/>
      <c r="H98" s="4"/>
      <c r="I98" s="4"/>
      <c r="J98" s="4"/>
      <c r="K98" s="4"/>
      <c r="L98" s="4"/>
      <c r="M98" s="5"/>
    </row>
    <row r="99" ht="15.75" customHeight="1">
      <c r="B99" s="69" t="str">
        <f>if($D$1="MMBio","Référence MMBio",if($D$1="Groupe local","Référence locale","###"))</f>
        <v>Référence MMBio</v>
      </c>
      <c r="C99" s="70"/>
      <c r="D99" s="71" t="s">
        <v>5</v>
      </c>
      <c r="E99" s="71"/>
      <c r="F99" s="71" t="s">
        <v>6</v>
      </c>
      <c r="G99" s="71"/>
      <c r="H99" s="71" t="s">
        <v>7</v>
      </c>
      <c r="I99" s="71"/>
      <c r="J99" s="71" t="s">
        <v>8</v>
      </c>
      <c r="K99" s="71"/>
      <c r="L99" s="71" t="s">
        <v>9</v>
      </c>
      <c r="M99" s="71"/>
    </row>
    <row r="100" ht="15.75" customHeight="1">
      <c r="B100" s="34"/>
      <c r="C100" s="156"/>
      <c r="D100" s="147">
        <f t="array" ref="D100">IF($D$1="MMBio",INDEX(DATA!$A$9:$H$32,XMATCH($A98,DATA!$A$9:$A$32),XMATCH(D99,DATA!$A$9:$H$9)),IF($D$1="Groupe local",MIN(DATA!$S$41:$S$305),""))</f>
        <v>0.1925906136</v>
      </c>
      <c r="E100" s="147"/>
      <c r="F100" s="147">
        <f t="array" ref="F100">IF($D$1="MMBio",INDEX(DATA!$A$9:$H$32,XMATCH($A98,DATA!$A$9:$A$32),XMATCH(F99,DATA!$A$9:$H$9)),IF($D$1="Groupe local",MIN(DATA!$S$41:$S$305),""))</f>
        <v>0.3447692896</v>
      </c>
      <c r="G100" s="147"/>
      <c r="H100" s="147">
        <f t="array" ref="H100">IF($D$1="MMBio",INDEX(DATA!$A$9:$H$32,XMATCH($A98,DATA!$A$9:$A$32),XMATCH(H99,DATA!$A$9:$H$9)),IF($D$1="Groupe local",MIN(DATA!$S$41:$S$305),""))</f>
        <v>0.4438515237</v>
      </c>
      <c r="I100" s="147"/>
      <c r="J100" s="147">
        <f t="array" ref="J100">IF($D$1="MMBio",INDEX(DATA!$A$9:$H$32,XMATCH($A98,DATA!$A$9:$A$32),XMATCH(J99,DATA!$A$9:$H$9)),IF($D$1="Groupe local",MIN(DATA!$S$41:$S$305),""))</f>
        <v>0.5488129168</v>
      </c>
      <c r="K100" s="147"/>
      <c r="L100" s="147">
        <f t="array" ref="L100">IF($D$1="MMBio",INDEX(DATA!$A$9:$H$32,XMATCH($A98,DATA!$A$9:$A$32),XMATCH(L99,DATA!$A$9:$H$9)),IF($D$1="Groupe local",MIN(DATA!$S$41:$S$305),""))</f>
        <v>0.6972262477</v>
      </c>
      <c r="M100" s="147"/>
    </row>
    <row r="101" ht="15.75" customHeight="1">
      <c r="B101" s="73" t="s">
        <v>155</v>
      </c>
      <c r="C101" s="148" t="str">
        <f>IF(SAISIE!$D$153&lt;D100,SAISIE!$D$153,"")</f>
        <v/>
      </c>
      <c r="D101" s="148" t="str">
        <f>IF(SAISIE!$D$153=D100,SAISIE!$D$153,"")</f>
        <v/>
      </c>
      <c r="E101" s="148">
        <f>IF(AND(SAISIE!$D$153&gt;D100,SAISIE!$D$153&lt;F100),SAISIE!$D$153,"")</f>
        <v>0.248157373</v>
      </c>
      <c r="F101" s="148" t="str">
        <f>IF(SAISIE!$D$153=F100,SAISIE!$D$153,"")</f>
        <v/>
      </c>
      <c r="G101" s="148" t="str">
        <f>IF(AND(SAISIE!$D$153&gt;F100,SAISIE!$D$153&lt;H100),SAISIE!$D$153,"")</f>
        <v/>
      </c>
      <c r="H101" s="148" t="str">
        <f>IF(SAISIE!$D$153=H100,SAISIE!$D$153,"")</f>
        <v/>
      </c>
      <c r="I101" s="148" t="str">
        <f>IF(AND(SAISIE!$D$153&gt;H100,SAISIE!$D$153&lt;J100),SAISIE!$D$153,"")</f>
        <v/>
      </c>
      <c r="J101" s="148" t="str">
        <f>IF(SAISIE!$D$153=J100,SAISIE!$D$153,"")</f>
        <v/>
      </c>
      <c r="K101" s="148" t="str">
        <f>IF(AND(SAISIE!$D$153&gt;J100,SAISIE!$D$153&lt;L100),SAISIE!$D$153,"")</f>
        <v/>
      </c>
      <c r="L101" s="148" t="str">
        <f>IF(SAISIE!$D$153=L100,SAISIE!$D$153,"")</f>
        <v/>
      </c>
      <c r="M101" s="148" t="str">
        <f>IF(SAISIE!$D$153&gt;L100,SAISIE!$D$153,"")</f>
        <v/>
      </c>
    </row>
    <row r="102" ht="15.75" customHeight="1"/>
    <row r="103" ht="15.75" customHeight="1">
      <c r="A103" s="157" t="s">
        <v>47</v>
      </c>
      <c r="B103" s="158" t="s">
        <v>48</v>
      </c>
      <c r="C103" s="4"/>
      <c r="D103" s="4"/>
      <c r="E103" s="4"/>
      <c r="F103" s="4"/>
      <c r="G103" s="4"/>
      <c r="H103" s="4"/>
      <c r="I103" s="4"/>
      <c r="J103" s="4"/>
      <c r="K103" s="4"/>
      <c r="L103" s="4"/>
      <c r="M103" s="5"/>
    </row>
    <row r="104" ht="15.75" customHeight="1">
      <c r="B104" s="69" t="str">
        <f>if($D$1="MMBio","Référence MMBio",if($D$1="Groupe local","Référence locale","###"))</f>
        <v>Référence MMBio</v>
      </c>
      <c r="C104" s="70"/>
      <c r="D104" s="71" t="s">
        <v>5</v>
      </c>
      <c r="E104" s="71"/>
      <c r="F104" s="71" t="s">
        <v>6</v>
      </c>
      <c r="G104" s="71"/>
      <c r="H104" s="71" t="s">
        <v>7</v>
      </c>
      <c r="I104" s="71"/>
      <c r="J104" s="71" t="s">
        <v>8</v>
      </c>
      <c r="K104" s="71"/>
      <c r="L104" s="71" t="s">
        <v>9</v>
      </c>
      <c r="M104" s="71"/>
    </row>
    <row r="105" ht="15.75" customHeight="1">
      <c r="B105" s="34"/>
      <c r="C105" s="70"/>
      <c r="D105" s="149">
        <f t="array" ref="D105">IF($D$1="MMBio",INDEX(DATA!$A$9:$H$32,XMATCH($A103,DATA!$A$9:$A$32),XMATCH(D104,DATA!$A$9:$H$9)),IF($D$1="Groupe local",MIN(DATA!$T$41:$T$305),""))</f>
        <v>0.681080715</v>
      </c>
      <c r="E105" s="71"/>
      <c r="F105" s="149">
        <f t="array" ref="F105">IF($D$1="MMBio",INDEX(DATA!$A$9:$H$32,XMATCH($A103,DATA!$A$9:$A$32),XMATCH(F104,DATA!$A$9:$H$9)),IF($D$1="Groupe local",MIN(DATA!$T$41:$T$305),""))</f>
        <v>1.402827479</v>
      </c>
      <c r="G105" s="71"/>
      <c r="H105" s="149">
        <f t="array" ref="H105">IF($D$1="MMBio",INDEX(DATA!$A$9:$H$32,XMATCH($A103,DATA!$A$9:$A$32),XMATCH(H104,DATA!$A$9:$H$9)),IF($D$1="Groupe local",MIN(DATA!$T$41:$T$305),""))</f>
        <v>1.708702476</v>
      </c>
      <c r="I105" s="71"/>
      <c r="J105" s="149">
        <f t="array" ref="J105">IF($D$1="MMBio",INDEX(DATA!$A$9:$H$32,XMATCH($A103,DATA!$A$9:$A$32),XMATCH(J104,DATA!$A$9:$H$9)),IF($D$1="Groupe local",MIN(DATA!$T$41:$T$305),""))</f>
        <v>2.229118548</v>
      </c>
      <c r="K105" s="71"/>
      <c r="L105" s="149">
        <f t="array" ref="L105">IF($D$1="MMBio",INDEX(DATA!$A$9:$H$32,XMATCH($A103,DATA!$A$9:$A$32),XMATCH(L104,DATA!$A$9:$H$9)),IF($D$1="Groupe local",MIN(DATA!$T$41:$T$305),""))</f>
        <v>4.381970722</v>
      </c>
      <c r="M105" s="71"/>
    </row>
    <row r="106" ht="15.75" customHeight="1">
      <c r="B106" s="73" t="s">
        <v>155</v>
      </c>
      <c r="C106" s="74" t="str">
        <f>IF(SAISIE!$D$154&lt;D105,SAISIE!$D$154,"")</f>
        <v/>
      </c>
      <c r="D106" s="74" t="str">
        <f>IF(SAISIE!$D$154=D105,SAISIE!$D$154,"")</f>
        <v/>
      </c>
      <c r="E106" s="150">
        <f>IF(AND(SAISIE!$D$154&gt;D105,SAISIE!$D$154&lt;F105),SAISIE!$D$154,"")</f>
        <v>1.19803792</v>
      </c>
      <c r="F106" s="74" t="str">
        <f>IF(SAISIE!$D$154=F105,SAISIE!$D$154,"")</f>
        <v/>
      </c>
      <c r="G106" s="74" t="str">
        <f>IF(AND(SAISIE!$D$154&gt;F105,SAISIE!$D$154&lt;H105),SAISIE!$D$154,"")</f>
        <v/>
      </c>
      <c r="H106" s="74" t="str">
        <f>IF(SAISIE!$D$154=H105,SAISIE!$D$154,"")</f>
        <v/>
      </c>
      <c r="I106" s="74" t="str">
        <f>IF(AND(SAISIE!$D$154&gt;H105,SAISIE!$D$154&lt;J105),SAISIE!$D$154,"")</f>
        <v/>
      </c>
      <c r="J106" s="74" t="str">
        <f>IF(SAISIE!$D$154=J105,SAISIE!$D$154,"")</f>
        <v/>
      </c>
      <c r="K106" s="74" t="str">
        <f>IF(AND(SAISIE!$D$154&gt;J105,SAISIE!$D$154&lt;L105),SAISIE!$D$154,"")</f>
        <v/>
      </c>
      <c r="L106" s="74" t="str">
        <f>IF(SAISIE!$D$154=L105,SAISIE!$D$154,"")</f>
        <v/>
      </c>
      <c r="M106" s="74" t="str">
        <f>IF(SAISIE!$D$154&gt;L105,SAISIE!$D$154,"")</f>
        <v/>
      </c>
    </row>
    <row r="107" ht="15.75" customHeight="1"/>
    <row r="108" ht="15.75" customHeight="1">
      <c r="A108" s="157" t="s">
        <v>49</v>
      </c>
      <c r="B108" s="158" t="s">
        <v>50</v>
      </c>
      <c r="C108" s="4"/>
      <c r="D108" s="4"/>
      <c r="E108" s="4"/>
      <c r="F108" s="4"/>
      <c r="G108" s="4"/>
      <c r="H108" s="4"/>
      <c r="I108" s="4"/>
      <c r="J108" s="4"/>
      <c r="K108" s="4"/>
      <c r="L108" s="4"/>
      <c r="M108" s="5"/>
    </row>
    <row r="109" ht="15.75" customHeight="1">
      <c r="B109" s="69" t="str">
        <f>if($D$1="MMBio","Référence MMBio",if($D$1="Groupe local","Référence locale","###"))</f>
        <v>Référence MMBio</v>
      </c>
      <c r="C109" s="70"/>
      <c r="D109" s="71" t="s">
        <v>5</v>
      </c>
      <c r="E109" s="71"/>
      <c r="F109" s="71" t="s">
        <v>6</v>
      </c>
      <c r="G109" s="71"/>
      <c r="H109" s="71" t="s">
        <v>7</v>
      </c>
      <c r="I109" s="71"/>
      <c r="J109" s="71" t="s">
        <v>8</v>
      </c>
      <c r="K109" s="71"/>
      <c r="L109" s="71" t="s">
        <v>9</v>
      </c>
      <c r="M109" s="71"/>
    </row>
    <row r="110" ht="15.75" customHeight="1">
      <c r="B110" s="34"/>
      <c r="C110" s="156"/>
      <c r="D110" s="147">
        <f t="array" ref="D110">IF($D$1="MMBio",INDEX(DATA!$A$9:$H$32,XMATCH($A108,DATA!$A$9:$A$32),XMATCH(D109,DATA!$A$9:$H$9)),IF($D$1="Groupe local",MIN(DATA!$U$41:$U$305),""))</f>
        <v>-4.773101118</v>
      </c>
      <c r="E110" s="147"/>
      <c r="F110" s="147">
        <f t="array" ref="F110">IF($D$1="MMBio",INDEX(DATA!$A$9:$H$32,XMATCH($A108,DATA!$A$9:$A$32),XMATCH(F109,DATA!$A$9:$H$9)),IF($D$1="Groupe local",MIN(DATA!$U$41:$U$305),""))</f>
        <v>0</v>
      </c>
      <c r="G110" s="147"/>
      <c r="H110" s="147">
        <f t="array" ref="H110">IF($D$1="MMBio",INDEX(DATA!$A$9:$H$32,XMATCH($A108,DATA!$A$9:$A$32),XMATCH(H109,DATA!$A$9:$H$9)),IF($D$1="Groupe local",MIN(DATA!$U$41:$U$305),""))</f>
        <v>0.03377429054</v>
      </c>
      <c r="I110" s="147"/>
      <c r="J110" s="147">
        <f t="array" ref="J110">IF($D$1="MMBio",INDEX(DATA!$A$9:$H$32,XMATCH($A108,DATA!$A$9:$A$32),XMATCH(J109,DATA!$A$9:$H$9)),IF($D$1="Groupe local",MIN(DATA!$U$41:$U$305),""))</f>
        <v>0.2393954161</v>
      </c>
      <c r="K110" s="147"/>
      <c r="L110" s="147">
        <f t="array" ref="L110">IF($D$1="MMBio",INDEX(DATA!$A$9:$H$32,XMATCH($A108,DATA!$A$9:$A$32),XMATCH(L109,DATA!$A$9:$H$9)),IF($D$1="Groupe local",MIN(DATA!$U$41:$U$305),""))</f>
        <v>3.929652589</v>
      </c>
      <c r="M110" s="147"/>
    </row>
    <row r="111" ht="15.75" customHeight="1">
      <c r="B111" s="73" t="s">
        <v>155</v>
      </c>
      <c r="C111" s="148" t="str">
        <f>IF(SAISIE!$D$155&lt;D110,SAISIE!$D$155,"")</f>
        <v/>
      </c>
      <c r="D111" s="148" t="str">
        <f>IF(SAISIE!$D$155=D110,SAISIE!$D$155,"")</f>
        <v/>
      </c>
      <c r="E111" s="148" t="str">
        <f>IF(AND(SAISIE!$D$155&gt;D110,SAISIE!$D$155&lt;F110),SAISIE!$D$155,"")</f>
        <v/>
      </c>
      <c r="F111" s="148" t="str">
        <f>IF(SAISIE!$D$155=F110,SAISIE!$D$155,"")</f>
        <v/>
      </c>
      <c r="G111" s="148" t="str">
        <f>IF(AND(SAISIE!$D$155&gt;F110,SAISIE!$D$155&lt;H110),SAISIE!$D$155,"")</f>
        <v/>
      </c>
      <c r="H111" s="148" t="str">
        <f>IF(SAISIE!$D$155=H110,SAISIE!$D$155,"")</f>
        <v/>
      </c>
      <c r="I111" s="148" t="str">
        <f>IF(AND(SAISIE!$D$155&gt;H110,SAISIE!$D$155&lt;J110),SAISIE!$D$155,"")</f>
        <v/>
      </c>
      <c r="J111" s="148" t="str">
        <f>IF(SAISIE!$D$155=J110,SAISIE!$D$155,"")</f>
        <v/>
      </c>
      <c r="K111" s="148">
        <f>IF(AND(SAISIE!$D$155&gt;J110,SAISIE!$D$155&lt;L110),SAISIE!$D$155,"")</f>
        <v>0.3246753247</v>
      </c>
      <c r="L111" s="148" t="str">
        <f>IF(SAISIE!$D$155=L110,SAISIE!$D$155,"")</f>
        <v/>
      </c>
      <c r="M111" s="148" t="str">
        <f>IF(SAISIE!$D$155&gt;L110,SAISIE!$D$155,"")</f>
        <v/>
      </c>
    </row>
    <row r="112" ht="15.75" customHeight="1"/>
    <row r="113" ht="15.75" customHeight="1">
      <c r="A113" s="157" t="s">
        <v>51</v>
      </c>
      <c r="B113" s="158" t="s">
        <v>52</v>
      </c>
      <c r="C113" s="4"/>
      <c r="D113" s="4"/>
      <c r="E113" s="4"/>
      <c r="F113" s="4"/>
      <c r="G113" s="4"/>
      <c r="H113" s="4"/>
      <c r="I113" s="4"/>
      <c r="J113" s="4"/>
      <c r="K113" s="4"/>
      <c r="L113" s="4"/>
      <c r="M113" s="5"/>
    </row>
    <row r="114" ht="15.75" customHeight="1">
      <c r="B114" s="69" t="str">
        <f>if($D$1="MMBio","Référence MMBio",if($D$1="Groupe local","Référence locale","###"))</f>
        <v>Référence MMBio</v>
      </c>
      <c r="C114" s="70"/>
      <c r="D114" s="71" t="s">
        <v>5</v>
      </c>
      <c r="E114" s="71"/>
      <c r="F114" s="71" t="s">
        <v>6</v>
      </c>
      <c r="G114" s="71"/>
      <c r="H114" s="71" t="s">
        <v>7</v>
      </c>
      <c r="I114" s="71"/>
      <c r="J114" s="71" t="s">
        <v>8</v>
      </c>
      <c r="K114" s="71"/>
      <c r="L114" s="71" t="s">
        <v>9</v>
      </c>
      <c r="M114" s="71"/>
    </row>
    <row r="115" ht="15.75" customHeight="1">
      <c r="B115" s="34"/>
      <c r="C115" s="70"/>
      <c r="D115" s="72">
        <f t="array" ref="D115">IF($D$1="MMBio",INDEX(DATA!$A$9:$H$32,XMATCH($A113,DATA!$A$9:$A$32),XMATCH(D114,DATA!$A$9:$H$9)),IF($D$1="Groupe local",MIN(DATA!$V$41:$V$305),""))</f>
        <v>-3997.5</v>
      </c>
      <c r="E115" s="71"/>
      <c r="F115" s="72">
        <f t="array" ref="F115">IF($D$1="MMBio",INDEX(DATA!$A$9:$H$32,XMATCH($A113,DATA!$A$9:$A$32),XMATCH(F114,DATA!$A$9:$H$9)),IF($D$1="Groupe local",MIN(DATA!$V$41:$V$305),""))</f>
        <v>13023.27206</v>
      </c>
      <c r="G115" s="71"/>
      <c r="H115" s="72">
        <f t="array" ref="H115">IF($D$1="MMBio",INDEX(DATA!$A$9:$H$32,XMATCH($A113,DATA!$A$9:$A$32),XMATCH(H114,DATA!$A$9:$H$9)),IF($D$1="Groupe local",MIN(DATA!$V$41:$V$305),""))</f>
        <v>17816.4991</v>
      </c>
      <c r="I115" s="71"/>
      <c r="J115" s="72">
        <f t="array" ref="J115">IF($D$1="MMBio",INDEX(DATA!$A$9:$H$32,XMATCH($A113,DATA!$A$9:$A$32),XMATCH(J114,DATA!$A$9:$H$9)),IF($D$1="Groupe local",MIN(DATA!$V$41:$V$305),""))</f>
        <v>27684.54</v>
      </c>
      <c r="K115" s="71"/>
      <c r="L115" s="72">
        <f t="array" ref="L115">IF($D$1="MMBio",INDEX(DATA!$A$9:$H$32,XMATCH($A113,DATA!$A$9:$A$32),XMATCH(L114,DATA!$A$9:$H$9)),IF($D$1="Groupe local",MIN(DATA!$V$41:$V$305),""))</f>
        <v>55589.52</v>
      </c>
      <c r="M115" s="71"/>
    </row>
    <row r="116" ht="15.75" customHeight="1">
      <c r="B116" s="73" t="s">
        <v>155</v>
      </c>
      <c r="C116" s="74" t="str">
        <f>IF(SAISIE!$D$156&lt;D115,SAISIE!$D$156,"")</f>
        <v/>
      </c>
      <c r="D116" s="74" t="str">
        <f>IF(SAISIE!$D$156=D115,SAISIE!$D$156,"")</f>
        <v/>
      </c>
      <c r="E116" s="155">
        <f>IF(AND(SAISIE!$D$156&gt;D115,SAISIE!$D$156&lt;F115),SAISIE!$D$156,"")</f>
        <v>3696</v>
      </c>
      <c r="F116" s="74" t="str">
        <f>IF(SAISIE!$D$156=F115,SAISIE!$D$156,"")</f>
        <v/>
      </c>
      <c r="G116" s="74" t="str">
        <f>IF(AND(SAISIE!$D$156&gt;F115,SAISIE!$D$156&lt;H115),SAISIE!$D$156,"")</f>
        <v/>
      </c>
      <c r="H116" s="74" t="str">
        <f>IF(SAISIE!$D$156=H115,SAISIE!$D$156,"")</f>
        <v/>
      </c>
      <c r="I116" s="74" t="str">
        <f>IF(AND(SAISIE!$D$156&gt;H115,SAISIE!$D$156&lt;J115),SAISIE!$D$156,"")</f>
        <v/>
      </c>
      <c r="J116" s="74" t="str">
        <f>IF(SAISIE!$D$156=J115,SAISIE!$D$156,"")</f>
        <v/>
      </c>
      <c r="K116" s="74" t="str">
        <f>IF(AND(SAISIE!$D$156&gt;J115,SAISIE!$D$156&lt;L115),SAISIE!$D$156,"")</f>
        <v/>
      </c>
      <c r="L116" s="74" t="str">
        <f>IF(SAISIE!$D$156=L115,SAISIE!$D$156,"")</f>
        <v/>
      </c>
      <c r="M116" s="74" t="str">
        <f>IF(SAISIE!$D$156&gt;L115,SAISIE!$D$156,"")</f>
        <v/>
      </c>
    </row>
    <row r="117" ht="15.75" customHeight="1"/>
    <row r="118" ht="15.75" customHeight="1">
      <c r="A118" s="157" t="s">
        <v>53</v>
      </c>
      <c r="B118" s="158" t="s">
        <v>54</v>
      </c>
      <c r="C118" s="4"/>
      <c r="D118" s="4"/>
      <c r="E118" s="4"/>
      <c r="F118" s="4"/>
      <c r="G118" s="4"/>
      <c r="H118" s="4"/>
      <c r="I118" s="4"/>
      <c r="J118" s="4"/>
      <c r="K118" s="4"/>
      <c r="L118" s="4"/>
      <c r="M118" s="5"/>
    </row>
    <row r="119" ht="15.75" customHeight="1">
      <c r="B119" s="69" t="str">
        <f>if($D$1="MMBio","Référence MMBio",if($D$1="Groupe local","Référence locale","###"))</f>
        <v>Référence MMBio</v>
      </c>
      <c r="C119" s="70"/>
      <c r="D119" s="71" t="s">
        <v>5</v>
      </c>
      <c r="E119" s="71"/>
      <c r="F119" s="71" t="s">
        <v>6</v>
      </c>
      <c r="G119" s="71"/>
      <c r="H119" s="71" t="s">
        <v>7</v>
      </c>
      <c r="I119" s="71"/>
      <c r="J119" s="71" t="s">
        <v>8</v>
      </c>
      <c r="K119" s="71"/>
      <c r="L119" s="71" t="s">
        <v>9</v>
      </c>
      <c r="M119" s="71"/>
    </row>
    <row r="120" ht="15.75" customHeight="1">
      <c r="B120" s="34"/>
      <c r="C120" s="70"/>
      <c r="D120" s="72">
        <f t="array" ref="D120">IF($D$1="MMBio",INDEX(DATA!$A$9:$H$32,XMATCH($A118,DATA!$A$9:$A$32),XMATCH(D119,DATA!$A$9:$H$9)),IF($D$1="Groupe local",MIN(DATA!$W$41:$W$305),""))</f>
        <v>-12441</v>
      </c>
      <c r="E120" s="71"/>
      <c r="F120" s="72">
        <f t="array" ref="F120">IF($D$1="MMBio",INDEX(DATA!$A$9:$H$32,XMATCH($A118,DATA!$A$9:$A$32),XMATCH(F119,DATA!$A$9:$H$9)),IF($D$1="Groupe local",MIN(DATA!$W$41:$W$305),""))</f>
        <v>9876.75</v>
      </c>
      <c r="G120" s="71"/>
      <c r="H120" s="72">
        <f t="array" ref="H120">IF($D$1="MMBio",INDEX(DATA!$A$9:$H$32,XMATCH($A118,DATA!$A$9:$A$32),XMATCH(H119,DATA!$A$9:$H$9)),IF($D$1="Groupe local",MIN(DATA!$W$41:$W$305),""))</f>
        <v>11783.91098</v>
      </c>
      <c r="I120" s="71"/>
      <c r="J120" s="72">
        <f t="array" ref="J120">IF($D$1="MMBio",INDEX(DATA!$A$9:$H$32,XMATCH($A118,DATA!$A$9:$A$32),XMATCH(J119,DATA!$A$9:$H$9)),IF($D$1="Groupe local",MIN(DATA!$W$41:$W$305),""))</f>
        <v>18270</v>
      </c>
      <c r="K120" s="71"/>
      <c r="L120" s="72">
        <f t="array" ref="L120">IF($D$1="MMBio",INDEX(DATA!$A$9:$H$32,XMATCH($A118,DATA!$A$9:$A$32),XMATCH(L119,DATA!$A$9:$H$9)),IF($D$1="Groupe local",MIN(DATA!$W$41:$W$305),""))</f>
        <v>46700.76</v>
      </c>
      <c r="M120" s="71"/>
    </row>
    <row r="121" ht="15.75" customHeight="1">
      <c r="B121" s="73" t="s">
        <v>155</v>
      </c>
      <c r="C121" s="74" t="str">
        <f>IF(SAISIE!$D$157&lt;D120,SAISIE!$D$157,"")</f>
        <v/>
      </c>
      <c r="D121" s="74" t="str">
        <f>IF(SAISIE!$D$157=D120,SAISIE!$D$157,"")</f>
        <v/>
      </c>
      <c r="E121" s="155">
        <f>IF(AND(SAISIE!$D$157&gt;D120,SAISIE!$D$157&lt;F120),SAISIE!$D$157,"")</f>
        <v>2496</v>
      </c>
      <c r="F121" s="74" t="str">
        <f>IF(SAISIE!$D$157=F120,SAISIE!$D$157,"")</f>
        <v/>
      </c>
      <c r="G121" s="74" t="str">
        <f>IF(AND(SAISIE!$D$157&gt;F120,SAISIE!$D$157&lt;H120),SAISIE!$D$157,"")</f>
        <v/>
      </c>
      <c r="H121" s="74" t="str">
        <f>IF(SAISIE!$D$157=H120,SAISIE!$D$157,"")</f>
        <v/>
      </c>
      <c r="I121" s="74" t="str">
        <f>IF(AND(SAISIE!$D$157&gt;H120,SAISIE!$D$157&lt;J120),SAISIE!$D$157,"")</f>
        <v/>
      </c>
      <c r="J121" s="74" t="str">
        <f>IF(SAISIE!$D$157=J120,SAISIE!$D$157,"")</f>
        <v/>
      </c>
      <c r="K121" s="74" t="str">
        <f>IF(AND(SAISIE!$D$157&gt;J120,SAISIE!$D$157&lt;L120),SAISIE!$D$157,"")</f>
        <v/>
      </c>
      <c r="L121" s="74" t="str">
        <f>IF(SAISIE!$D$157=L120,SAISIE!$D$157,"")</f>
        <v/>
      </c>
      <c r="M121" s="74" t="str">
        <f>IF(SAISIE!$D$157&gt;L120,SAISIE!$D$157,"")</f>
        <v/>
      </c>
    </row>
    <row r="122" ht="15.75" customHeight="1"/>
    <row r="123" ht="15.75" customHeight="1">
      <c r="A123" s="157" t="s">
        <v>55</v>
      </c>
      <c r="B123" s="158" t="s">
        <v>56</v>
      </c>
      <c r="C123" s="4"/>
      <c r="D123" s="4"/>
      <c r="E123" s="4"/>
      <c r="F123" s="4"/>
      <c r="G123" s="4"/>
      <c r="H123" s="4"/>
      <c r="I123" s="4"/>
      <c r="J123" s="4"/>
      <c r="K123" s="4"/>
      <c r="L123" s="4"/>
      <c r="M123" s="5"/>
    </row>
    <row r="124" ht="15.75" customHeight="1">
      <c r="B124" s="69" t="str">
        <f>if($D$1="MMBio","Référence MMBio",if($D$1="Groupe local","Référence locale","###"))</f>
        <v>Référence MMBio</v>
      </c>
      <c r="C124" s="70"/>
      <c r="D124" s="71" t="s">
        <v>5</v>
      </c>
      <c r="E124" s="71"/>
      <c r="F124" s="71" t="s">
        <v>6</v>
      </c>
      <c r="G124" s="71"/>
      <c r="H124" s="71" t="s">
        <v>7</v>
      </c>
      <c r="I124" s="71"/>
      <c r="J124" s="71" t="s">
        <v>8</v>
      </c>
      <c r="K124" s="71"/>
      <c r="L124" s="71" t="s">
        <v>9</v>
      </c>
      <c r="M124" s="71"/>
    </row>
    <row r="125" ht="15.75" customHeight="1">
      <c r="B125" s="34"/>
      <c r="C125" s="70"/>
      <c r="D125" s="149">
        <f t="array" ref="D125">IF($D$1="MMBio",INDEX(DATA!$A$9:$H$32,XMATCH($A123,DATA!$A$9:$A$32),XMATCH(D124,DATA!$A$9:$H$9)),IF($D$1="Groupe local",MIN(DATA!$X$41:$X$305),""))</f>
        <v>-3.509779951</v>
      </c>
      <c r="E125" s="71"/>
      <c r="F125" s="149">
        <f t="array" ref="F125">IF($D$1="MMBio",INDEX(DATA!$A$9:$H$32,XMATCH($A123,DATA!$A$9:$A$32),XMATCH(F124,DATA!$A$9:$H$9)),IF($D$1="Groupe local",MIN(DATA!$X$41:$X$305),""))</f>
        <v>4.256464466</v>
      </c>
      <c r="G125" s="71"/>
      <c r="H125" s="149">
        <f t="array" ref="H125">IF($D$1="MMBio",INDEX(DATA!$A$9:$H$32,XMATCH($A123,DATA!$A$9:$A$32),XMATCH(H124,DATA!$A$9:$H$9)),IF($D$1="Groupe local",MIN(DATA!$X$41:$X$305),""))</f>
        <v>6.158846154</v>
      </c>
      <c r="I125" s="71"/>
      <c r="J125" s="149">
        <f t="array" ref="J125">IF($D$1="MMBio",INDEX(DATA!$A$9:$H$32,XMATCH($A123,DATA!$A$9:$A$32),XMATCH(J124,DATA!$A$9:$H$9)),IF($D$1="Groupe local",MIN(DATA!$X$41:$X$305),""))</f>
        <v>10.45608889</v>
      </c>
      <c r="K125" s="71"/>
      <c r="L125" s="149">
        <f t="array" ref="L125">IF($D$1="MMBio",INDEX(DATA!$A$9:$H$32,XMATCH($A123,DATA!$A$9:$A$32),XMATCH(L124,DATA!$A$9:$H$9)),IF($D$1="Groupe local",MIN(DATA!$X$41:$X$305),""))</f>
        <v>18.91887126</v>
      </c>
      <c r="M125" s="71"/>
    </row>
    <row r="126" ht="15.75" customHeight="1">
      <c r="B126" s="73" t="s">
        <v>155</v>
      </c>
      <c r="C126" s="74" t="str">
        <f>IF(SAISIE!$D$158&lt;D125,SAISIE!$D$158,"")</f>
        <v/>
      </c>
      <c r="D126" s="74" t="str">
        <f>IF(SAISIE!$D$158=D125,SAISIE!$D$158,"")</f>
        <v/>
      </c>
      <c r="E126" s="150">
        <f>IF(AND(SAISIE!$D$158&gt;D125,SAISIE!$D$158&lt;F125),SAISIE!$D$158,"")</f>
        <v>1.337770632</v>
      </c>
      <c r="F126" s="74" t="str">
        <f>IF(SAISIE!$D$158=F125,SAISIE!$D$158,"")</f>
        <v/>
      </c>
      <c r="G126" s="74" t="str">
        <f>IF(AND(SAISIE!$D$158&gt;F125,SAISIE!$D$158&lt;H125),SAISIE!$D$158,"")</f>
        <v/>
      </c>
      <c r="H126" s="74" t="str">
        <f>IF(SAISIE!$D$158=H125,SAISIE!$D$158,"")</f>
        <v/>
      </c>
      <c r="I126" s="74" t="str">
        <f>IF(AND(SAISIE!$D$158&gt;H125,SAISIE!$D$158&lt;J125),SAISIE!$D$158,"")</f>
        <v/>
      </c>
      <c r="J126" s="74" t="str">
        <f>IF(SAISIE!$D$158=J125,SAISIE!$D$158,"")</f>
        <v/>
      </c>
      <c r="K126" s="74" t="str">
        <f>IF(AND(SAISIE!$D$158&gt;J125,SAISIE!$D$158&lt;L125),SAISIE!$D$158,"")</f>
        <v/>
      </c>
      <c r="L126" s="74" t="str">
        <f>IF(SAISIE!$D$158=L125,SAISIE!$D$158,"")</f>
        <v/>
      </c>
      <c r="M126" s="74" t="str">
        <f>IF(SAISIE!$D$158&gt;L125,SAISIE!$D$158,"")</f>
        <v/>
      </c>
    </row>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9">
    <mergeCell ref="A3:M3"/>
    <mergeCell ref="B5:M5"/>
    <mergeCell ref="B6:B7"/>
    <mergeCell ref="B10:M10"/>
    <mergeCell ref="B11:B12"/>
    <mergeCell ref="B15:M15"/>
    <mergeCell ref="B20:M20"/>
    <mergeCell ref="B16:B17"/>
    <mergeCell ref="B21:B22"/>
    <mergeCell ref="B26:B27"/>
    <mergeCell ref="B35:B36"/>
    <mergeCell ref="B40:B41"/>
    <mergeCell ref="B45:B46"/>
    <mergeCell ref="B50:B51"/>
    <mergeCell ref="B25:M25"/>
    <mergeCell ref="A32:M32"/>
    <mergeCell ref="B34:M34"/>
    <mergeCell ref="B39:M39"/>
    <mergeCell ref="B44:M44"/>
    <mergeCell ref="B49:M49"/>
    <mergeCell ref="B54:M54"/>
    <mergeCell ref="B93:M93"/>
    <mergeCell ref="B98:M98"/>
    <mergeCell ref="B103:M103"/>
    <mergeCell ref="B108:M108"/>
    <mergeCell ref="B113:M113"/>
    <mergeCell ref="B118:M118"/>
    <mergeCell ref="B123:M123"/>
    <mergeCell ref="B59:M59"/>
    <mergeCell ref="A66:M66"/>
    <mergeCell ref="B68:M68"/>
    <mergeCell ref="B73:M73"/>
    <mergeCell ref="B78:M78"/>
    <mergeCell ref="B83:M83"/>
    <mergeCell ref="B88:M88"/>
    <mergeCell ref="B94:B95"/>
    <mergeCell ref="B99:B100"/>
    <mergeCell ref="B104:B105"/>
    <mergeCell ref="B109:B110"/>
    <mergeCell ref="B114:B115"/>
    <mergeCell ref="B119:B120"/>
    <mergeCell ref="B124:B125"/>
    <mergeCell ref="B55:B56"/>
    <mergeCell ref="B60:B61"/>
    <mergeCell ref="B69:B70"/>
    <mergeCell ref="B74:B75"/>
    <mergeCell ref="B79:B80"/>
    <mergeCell ref="B84:B85"/>
    <mergeCell ref="B89:B90"/>
  </mergeCells>
  <conditionalFormatting sqref="C8:M8">
    <cfRule type="cellIs" dxfId="4" priority="1" operator="notEqual">
      <formula>""</formula>
    </cfRule>
  </conditionalFormatting>
  <conditionalFormatting sqref="C13:M13">
    <cfRule type="cellIs" dxfId="4" priority="2" operator="notEqual">
      <formula>""</formula>
    </cfRule>
  </conditionalFormatting>
  <conditionalFormatting sqref="C18:M18">
    <cfRule type="cellIs" dxfId="4" priority="3" operator="notEqual">
      <formula>""</formula>
    </cfRule>
  </conditionalFormatting>
  <conditionalFormatting sqref="C23:M23">
    <cfRule type="cellIs" dxfId="4" priority="4" operator="notEqual">
      <formula>""</formula>
    </cfRule>
  </conditionalFormatting>
  <conditionalFormatting sqref="C28:M28">
    <cfRule type="cellIs" dxfId="4" priority="5" operator="notEqual">
      <formula>""</formula>
    </cfRule>
  </conditionalFormatting>
  <conditionalFormatting sqref="C37:M37">
    <cfRule type="cellIs" dxfId="4" priority="6" operator="notEqual">
      <formula>""</formula>
    </cfRule>
  </conditionalFormatting>
  <conditionalFormatting sqref="C42:M42">
    <cfRule type="cellIs" dxfId="4" priority="7" operator="notEqual">
      <formula>""</formula>
    </cfRule>
  </conditionalFormatting>
  <conditionalFormatting sqref="C47:M47">
    <cfRule type="cellIs" dxfId="4" priority="8" operator="notEqual">
      <formula>""</formula>
    </cfRule>
  </conditionalFormatting>
  <conditionalFormatting sqref="C52:M52">
    <cfRule type="cellIs" dxfId="4" priority="9" operator="notEqual">
      <formula>""</formula>
    </cfRule>
  </conditionalFormatting>
  <conditionalFormatting sqref="C57:M57">
    <cfRule type="cellIs" dxfId="4" priority="10" operator="notEqual">
      <formula>""</formula>
    </cfRule>
  </conditionalFormatting>
  <conditionalFormatting sqref="C62:M62">
    <cfRule type="cellIs" dxfId="4" priority="11" operator="notEqual">
      <formula>""</formula>
    </cfRule>
  </conditionalFormatting>
  <conditionalFormatting sqref="C76:M76">
    <cfRule type="cellIs" dxfId="4" priority="12" operator="notEqual">
      <formula>""</formula>
    </cfRule>
  </conditionalFormatting>
  <conditionalFormatting sqref="C81:M81">
    <cfRule type="cellIs" dxfId="4" priority="13" operator="notEqual">
      <formula>""</formula>
    </cfRule>
  </conditionalFormatting>
  <conditionalFormatting sqref="C86:M86">
    <cfRule type="cellIs" dxfId="4" priority="14" operator="notEqual">
      <formula>""</formula>
    </cfRule>
  </conditionalFormatting>
  <conditionalFormatting sqref="C91:M91">
    <cfRule type="cellIs" dxfId="4" priority="15" operator="notEqual">
      <formula>""</formula>
    </cfRule>
  </conditionalFormatting>
  <conditionalFormatting sqref="C96:M96">
    <cfRule type="cellIs" dxfId="4" priority="16" operator="notEqual">
      <formula>""</formula>
    </cfRule>
  </conditionalFormatting>
  <conditionalFormatting sqref="C101:M101">
    <cfRule type="cellIs" dxfId="4" priority="17" operator="notEqual">
      <formula>""</formula>
    </cfRule>
  </conditionalFormatting>
  <conditionalFormatting sqref="C106:M106">
    <cfRule type="cellIs" dxfId="4" priority="18" operator="notEqual">
      <formula>""</formula>
    </cfRule>
  </conditionalFormatting>
  <conditionalFormatting sqref="C111:M111">
    <cfRule type="cellIs" dxfId="4" priority="19" operator="notEqual">
      <formula>""</formula>
    </cfRule>
  </conditionalFormatting>
  <conditionalFormatting sqref="C116:M116">
    <cfRule type="cellIs" dxfId="4" priority="20" operator="notEqual">
      <formula>""</formula>
    </cfRule>
  </conditionalFormatting>
  <conditionalFormatting sqref="C121:M121">
    <cfRule type="cellIs" dxfId="4" priority="21" operator="notEqual">
      <formula>""</formula>
    </cfRule>
  </conditionalFormatting>
  <conditionalFormatting sqref="C126:M126">
    <cfRule type="cellIs" dxfId="4" priority="22" operator="notEqual">
      <formula>""</formula>
    </cfRule>
  </conditionalFormatting>
  <conditionalFormatting sqref="C71:M71">
    <cfRule type="cellIs" dxfId="4" priority="23" operator="notEqual">
      <formula>""</formula>
    </cfRule>
  </conditionalFormatting>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2023-03-22T15:28:39Z</dcterms:created>
  <dc:creator>lenovo</dc:creator>
</cp:coreProperties>
</file>